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ngh\Downloads\PGDM Batch-2023-25(11.01.2025)\PGDM (End Term-IV)\"/>
    </mc:Choice>
  </mc:AlternateContent>
  <bookViews>
    <workbookView xWindow="0" yWindow="0" windowWidth="9590" windowHeight="9030" firstSheet="1" activeTab="4"/>
  </bookViews>
  <sheets>
    <sheet name="Assumptions" sheetId="1" r:id="rId1"/>
    <sheet name="Income Statement" sheetId="8" r:id="rId2"/>
    <sheet name="Balance Sheet" sheetId="4" r:id="rId3"/>
    <sheet name="Cash Flow Statement" sheetId="5" r:id="rId4"/>
    <sheet name="Supporting Schedules" sheetId="6" r:id="rId5"/>
  </sheets>
  <definedNames>
    <definedName name="CIQWBGuid" hidden="1">"2cd8126d-26c3-430c-b7fa-a069e3a1fc62"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43412.7003240741</definedName>
    <definedName name="IQ_QTD" hidden="1">750000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6" l="1"/>
  <c r="D23" i="6"/>
  <c r="C20" i="6"/>
  <c r="D20" i="6"/>
  <c r="B21" i="6"/>
  <c r="C21" i="6"/>
  <c r="D21" i="6"/>
  <c r="B20" i="6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F16" i="1"/>
  <c r="G16" i="1"/>
  <c r="H16" i="1"/>
  <c r="I16" i="1"/>
  <c r="E16" i="1"/>
  <c r="F13" i="1"/>
  <c r="G13" i="1"/>
  <c r="H13" i="1"/>
  <c r="I13" i="1"/>
  <c r="E13" i="1"/>
  <c r="F12" i="1"/>
  <c r="G12" i="1"/>
  <c r="H12" i="1"/>
  <c r="I12" i="1"/>
  <c r="E12" i="1"/>
  <c r="E11" i="1"/>
  <c r="F10" i="1"/>
  <c r="G10" i="1"/>
  <c r="H10" i="1"/>
  <c r="I10" i="1"/>
  <c r="F11" i="1"/>
  <c r="G11" i="1"/>
  <c r="H11" i="1"/>
  <c r="I11" i="1"/>
  <c r="E10" i="1"/>
  <c r="F9" i="1"/>
  <c r="G9" i="1"/>
  <c r="H9" i="1"/>
  <c r="I9" i="1"/>
  <c r="E9" i="1"/>
  <c r="E8" i="1"/>
  <c r="F8" i="1"/>
  <c r="G8" i="1"/>
  <c r="H8" i="1"/>
  <c r="I8" i="1"/>
  <c r="F7" i="1"/>
  <c r="G7" i="1"/>
  <c r="H7" i="1"/>
  <c r="I7" i="1"/>
  <c r="E7" i="1"/>
  <c r="F6" i="1"/>
  <c r="G6" i="1"/>
  <c r="H6" i="1"/>
  <c r="I6" i="1"/>
  <c r="E6" i="1"/>
  <c r="C23" i="5"/>
  <c r="D23" i="5"/>
  <c r="D25" i="5" s="1"/>
  <c r="D27" i="5" s="1"/>
  <c r="B23" i="5"/>
  <c r="B25" i="5" s="1"/>
  <c r="B27" i="5" s="1"/>
  <c r="C17" i="5"/>
  <c r="C25" i="5" s="1"/>
  <c r="C27" i="5" s="1"/>
  <c r="D17" i="5"/>
  <c r="B17" i="5"/>
  <c r="C13" i="5"/>
  <c r="D13" i="5"/>
  <c r="B13" i="5"/>
  <c r="C25" i="4"/>
  <c r="D25" i="4"/>
  <c r="D26" i="4" s="1"/>
  <c r="B25" i="4"/>
  <c r="B26" i="4" s="1"/>
  <c r="C19" i="4"/>
  <c r="D19" i="4"/>
  <c r="B19" i="4"/>
  <c r="C10" i="4"/>
  <c r="C13" i="4" s="1"/>
  <c r="D10" i="4"/>
  <c r="D13" i="4" s="1"/>
  <c r="B10" i="4"/>
  <c r="B13" i="4" s="1"/>
  <c r="C12" i="8"/>
  <c r="C14" i="8" s="1"/>
  <c r="C16" i="8" s="1"/>
  <c r="D12" i="8"/>
  <c r="D14" i="8" s="1"/>
  <c r="D16" i="8" s="1"/>
  <c r="C7" i="8"/>
  <c r="D7" i="8"/>
  <c r="B7" i="8"/>
  <c r="B12" i="8" s="1"/>
  <c r="B14" i="8" s="1"/>
  <c r="B16" i="8" s="1"/>
  <c r="C26" i="4" l="1"/>
  <c r="E26" i="5"/>
  <c r="B10" i="6"/>
  <c r="C7" i="6" s="1"/>
  <c r="B9" i="6"/>
  <c r="B8" i="6"/>
  <c r="B23" i="1"/>
  <c r="B22" i="1"/>
  <c r="B21" i="1"/>
  <c r="B20" i="1"/>
  <c r="B16" i="1"/>
  <c r="B18" i="1"/>
  <c r="B19" i="1"/>
  <c r="C19" i="1"/>
  <c r="D19" i="1"/>
  <c r="C18" i="1"/>
  <c r="D18" i="1"/>
  <c r="B17" i="1"/>
  <c r="E5" i="8"/>
  <c r="B13" i="1"/>
  <c r="C12" i="1"/>
  <c r="C8" i="1"/>
  <c r="D8" i="1"/>
  <c r="B8" i="1"/>
  <c r="B9" i="1"/>
  <c r="D6" i="1"/>
  <c r="C6" i="1"/>
  <c r="E6" i="8" l="1"/>
  <c r="D8" i="6"/>
  <c r="D9" i="6"/>
  <c r="C9" i="6"/>
  <c r="C8" i="6"/>
  <c r="C10" i="6" s="1"/>
  <c r="D7" i="6" s="1"/>
  <c r="D10" i="6" s="1"/>
  <c r="E7" i="5" l="1"/>
  <c r="B28" i="4"/>
  <c r="D14" i="6"/>
  <c r="D15" i="6"/>
  <c r="C14" i="6"/>
  <c r="C15" i="6"/>
  <c r="C21" i="1"/>
  <c r="D19" i="6" s="1"/>
  <c r="D21" i="1"/>
  <c r="B7" i="1" l="1"/>
  <c r="C7" i="1"/>
  <c r="D7" i="1"/>
  <c r="C9" i="1"/>
  <c r="D9" i="1"/>
  <c r="B10" i="1"/>
  <c r="C10" i="1"/>
  <c r="D10" i="1"/>
  <c r="B11" i="1"/>
  <c r="C11" i="1"/>
  <c r="D11" i="1"/>
  <c r="D12" i="1"/>
  <c r="D24" i="6" s="1"/>
  <c r="H23" i="4"/>
  <c r="I23" i="4"/>
  <c r="B16" i="6"/>
  <c r="B15" i="6"/>
  <c r="H21" i="4"/>
  <c r="I21" i="4"/>
  <c r="C22" i="1"/>
  <c r="D22" i="1"/>
  <c r="C16" i="1"/>
  <c r="D16" i="1"/>
  <c r="C20" i="1"/>
  <c r="D20" i="1"/>
  <c r="C17" i="1"/>
  <c r="D17" i="1"/>
  <c r="I20" i="5" l="1"/>
  <c r="C13" i="6"/>
  <c r="C16" i="6" s="1"/>
  <c r="D13" i="6" s="1"/>
  <c r="D16" i="6" s="1"/>
  <c r="C19" i="6"/>
  <c r="I22" i="5"/>
  <c r="D28" i="4"/>
  <c r="C24" i="6"/>
  <c r="C13" i="1"/>
  <c r="C28" i="4"/>
  <c r="I13" i="8"/>
  <c r="E10" i="8"/>
  <c r="F5" i="8"/>
  <c r="E7" i="8" l="1"/>
  <c r="D13" i="1"/>
  <c r="B14" i="6"/>
  <c r="B13" i="6" s="1"/>
  <c r="G5" i="8"/>
  <c r="F6" i="8"/>
  <c r="F7" i="8" s="1"/>
  <c r="F10" i="8"/>
  <c r="E12" i="8" l="1"/>
  <c r="D23" i="1"/>
  <c r="C23" i="1"/>
  <c r="F12" i="8"/>
  <c r="F7" i="5"/>
  <c r="H5" i="8"/>
  <c r="G10" i="8"/>
  <c r="G6" i="8"/>
  <c r="G7" i="5" l="1"/>
  <c r="H10" i="8"/>
  <c r="I5" i="8"/>
  <c r="H6" i="8"/>
  <c r="G7" i="8"/>
  <c r="G12" i="8" l="1"/>
  <c r="H7" i="5"/>
  <c r="H7" i="8"/>
  <c r="I10" i="8"/>
  <c r="I6" i="8"/>
  <c r="H12" i="4"/>
  <c r="I17" i="5" l="1"/>
  <c r="H12" i="8"/>
  <c r="I7" i="5"/>
  <c r="I12" i="4"/>
  <c r="I7" i="8"/>
  <c r="I12" i="8" l="1"/>
  <c r="I14" i="8" s="1"/>
  <c r="I15" i="8" s="1"/>
  <c r="I18" i="4" l="1"/>
  <c r="I19" i="4" s="1"/>
  <c r="I16" i="8" l="1"/>
  <c r="I6" i="5" l="1"/>
  <c r="I21" i="5" l="1"/>
  <c r="I23" i="5" s="1"/>
  <c r="E23" i="4" l="1"/>
  <c r="F23" i="4"/>
  <c r="G23" i="4"/>
  <c r="H13" i="8"/>
  <c r="H14" i="8" s="1"/>
  <c r="H22" i="5"/>
  <c r="E22" i="5"/>
  <c r="F13" i="8" l="1"/>
  <c r="F14" i="8" s="1"/>
  <c r="F15" i="8" s="1"/>
  <c r="F18" i="4" s="1"/>
  <c r="E13" i="8"/>
  <c r="E14" i="8" s="1"/>
  <c r="E15" i="8" s="1"/>
  <c r="E18" i="4" s="1"/>
  <c r="H20" i="5"/>
  <c r="F20" i="5"/>
  <c r="E20" i="5"/>
  <c r="H15" i="8"/>
  <c r="H18" i="4" s="1"/>
  <c r="H19" i="4" s="1"/>
  <c r="E21" i="4"/>
  <c r="G13" i="8"/>
  <c r="G14" i="8" s="1"/>
  <c r="F21" i="4"/>
  <c r="G21" i="4"/>
  <c r="G22" i="5"/>
  <c r="F22" i="5"/>
  <c r="G20" i="5"/>
  <c r="E19" i="4" l="1"/>
  <c r="F19" i="4"/>
  <c r="E16" i="8"/>
  <c r="F16" i="8"/>
  <c r="I13" i="5"/>
  <c r="I25" i="5" s="1"/>
  <c r="F6" i="5"/>
  <c r="H16" i="8"/>
  <c r="G15" i="8"/>
  <c r="G18" i="4" s="1"/>
  <c r="F13" i="5" l="1"/>
  <c r="G19" i="4"/>
  <c r="E6" i="5"/>
  <c r="E13" i="5" s="1"/>
  <c r="G16" i="8"/>
  <c r="H6" i="5"/>
  <c r="E21" i="5" l="1"/>
  <c r="E23" i="5" s="1"/>
  <c r="F21" i="5"/>
  <c r="F23" i="5" s="1"/>
  <c r="H13" i="5"/>
  <c r="H21" i="5"/>
  <c r="H23" i="5" s="1"/>
  <c r="G6" i="5"/>
  <c r="G13" i="5" s="1"/>
  <c r="E24" i="4" l="1"/>
  <c r="E25" i="4" s="1"/>
  <c r="E26" i="4" s="1"/>
  <c r="F24" i="4"/>
  <c r="F25" i="4" s="1"/>
  <c r="F26" i="4" s="1"/>
  <c r="G21" i="5"/>
  <c r="G23" i="5" s="1"/>
  <c r="G24" i="4" l="1"/>
  <c r="G25" i="4" s="1"/>
  <c r="G26" i="4" s="1"/>
  <c r="H24" i="4" l="1"/>
  <c r="H25" i="4" s="1"/>
  <c r="H26" i="4" s="1"/>
  <c r="I24" i="4"/>
  <c r="I25" i="4" s="1"/>
  <c r="I26" i="4" s="1"/>
  <c r="G12" i="4"/>
  <c r="E12" i="4"/>
  <c r="H17" i="5" l="1"/>
  <c r="H25" i="5" s="1"/>
  <c r="F17" i="5"/>
  <c r="F25" i="5" s="1"/>
  <c r="E17" i="5"/>
  <c r="E25" i="5" s="1"/>
  <c r="E27" i="5" s="1"/>
  <c r="E7" i="4" s="1"/>
  <c r="E10" i="4" s="1"/>
  <c r="F12" i="4"/>
  <c r="G17" i="5"/>
  <c r="G25" i="5" s="1"/>
  <c r="E13" i="4" l="1"/>
  <c r="E28" i="4" s="1"/>
  <c r="F26" i="5"/>
  <c r="F27" i="5" s="1"/>
  <c r="G26" i="5" s="1"/>
  <c r="G27" i="5" s="1"/>
  <c r="F7" i="4" l="1"/>
  <c r="F10" i="4" s="1"/>
  <c r="G7" i="4"/>
  <c r="G10" i="4" s="1"/>
  <c r="H26" i="5"/>
  <c r="H27" i="5" s="1"/>
  <c r="G13" i="4" l="1"/>
  <c r="G28" i="4" s="1"/>
  <c r="F13" i="4"/>
  <c r="F28" i="4" s="1"/>
  <c r="H7" i="4"/>
  <c r="H10" i="4" s="1"/>
  <c r="I26" i="5"/>
  <c r="I27" i="5" s="1"/>
  <c r="I7" i="4" s="1"/>
  <c r="I10" i="4" s="1"/>
  <c r="H13" i="4" l="1"/>
  <c r="H28" i="4" s="1"/>
  <c r="I13" i="4"/>
  <c r="I28" i="4" s="1"/>
</calcChain>
</file>

<file path=xl/sharedStrings.xml><?xml version="1.0" encoding="utf-8"?>
<sst xmlns="http://schemas.openxmlformats.org/spreadsheetml/2006/main" count="153" uniqueCount="100">
  <si>
    <t>Income Statement</t>
  </si>
  <si>
    <t>Sales Growth</t>
  </si>
  <si>
    <t>Gross Margin</t>
  </si>
  <si>
    <t>Depreciation (Percent of Sales)</t>
  </si>
  <si>
    <t>Long Term Debt Interest (Average Debt)</t>
  </si>
  <si>
    <t>Tax Rate (Percent of EBT)</t>
  </si>
  <si>
    <t>Balance Sheet</t>
  </si>
  <si>
    <t>Capital Asset Turnover Ratio</t>
  </si>
  <si>
    <t>Receivable Days (Sales Basis)</t>
  </si>
  <si>
    <t>Inventory Days (COGS Basis)</t>
  </si>
  <si>
    <t>Payable Days (COGS Basis)</t>
  </si>
  <si>
    <t>Income Tax Payable</t>
  </si>
  <si>
    <t>Long Term Debt</t>
  </si>
  <si>
    <t>Common Share Capital</t>
  </si>
  <si>
    <t xml:space="preserve">Dividend Payout Ratio </t>
  </si>
  <si>
    <t>Revenues</t>
  </si>
  <si>
    <t>Cost of Goods Sold</t>
  </si>
  <si>
    <t>Gross Profit</t>
  </si>
  <si>
    <t>Depreciation</t>
  </si>
  <si>
    <t>EBIT (Operating Profit)</t>
  </si>
  <si>
    <t>Interest</t>
  </si>
  <si>
    <t>Income Before Taxes</t>
  </si>
  <si>
    <t>Taxes</t>
  </si>
  <si>
    <t>Net Income</t>
  </si>
  <si>
    <t>Common Dividends</t>
  </si>
  <si>
    <t>ASSETS</t>
  </si>
  <si>
    <t>Current Assets:</t>
  </si>
  <si>
    <t>Cash</t>
  </si>
  <si>
    <t>Trade and Other Receivables</t>
  </si>
  <si>
    <t>Inventories</t>
  </si>
  <si>
    <t>Total Current Assets</t>
  </si>
  <si>
    <t>Non-Current Assets:</t>
  </si>
  <si>
    <t>Property Plant and Equipment</t>
  </si>
  <si>
    <t>TOTAL ASSETS</t>
  </si>
  <si>
    <t>LIABILITIES AND SHAREHOLDERS' EQUITY</t>
  </si>
  <si>
    <t>Current Liabilities:</t>
  </si>
  <si>
    <t>Trade and Other Payables</t>
  </si>
  <si>
    <t>Income Taxes Payable</t>
  </si>
  <si>
    <t>Total Current Liabilities:</t>
  </si>
  <si>
    <t>Non-Current Liabilities:</t>
  </si>
  <si>
    <t>Long-Term Debt</t>
  </si>
  <si>
    <t>Shareholder's Equity:</t>
  </si>
  <si>
    <t>Retained Earnings</t>
  </si>
  <si>
    <t>Total Shareholders' Equity</t>
  </si>
  <si>
    <t>TOTAL LIABILITIES AND SHAREHOLDERS' EQUITY</t>
  </si>
  <si>
    <t>Cash Flow Statement</t>
  </si>
  <si>
    <t>Cash Flows from Operating Activities:</t>
  </si>
  <si>
    <t>Changes in Operating Assets and Liabilities:</t>
  </si>
  <si>
    <t>Net Cash Provided by Operating Activities</t>
  </si>
  <si>
    <t/>
  </si>
  <si>
    <t>Investing Activities:</t>
  </si>
  <si>
    <t>Acquisitions of Property and Equipment</t>
  </si>
  <si>
    <t>Cash Flows from Investing Activities</t>
  </si>
  <si>
    <t>Financing Activities:</t>
  </si>
  <si>
    <t>Issuance of Common Stock</t>
  </si>
  <si>
    <t>Dividends (current year)</t>
  </si>
  <si>
    <t>Increase/(Decrease) in Long-Term Debt</t>
  </si>
  <si>
    <t>Cash Flows from Financing Activities</t>
  </si>
  <si>
    <t>Supporting Schedules</t>
  </si>
  <si>
    <t>Property Plant and Equipment (PP&amp;E)</t>
  </si>
  <si>
    <t>Beginning of Period</t>
  </si>
  <si>
    <t>Capital Expenditures/Additions (Disposals)</t>
  </si>
  <si>
    <t>Depreciation Expense</t>
  </si>
  <si>
    <t>Net PP&amp;E End of Period</t>
  </si>
  <si>
    <t>Retained Earnings (RE)</t>
  </si>
  <si>
    <t>Dividends</t>
  </si>
  <si>
    <t>RE End of Period</t>
  </si>
  <si>
    <t>Long Term Debt (LTD)</t>
  </si>
  <si>
    <t>Additions (Repayments)</t>
  </si>
  <si>
    <t>LTD End of Period</t>
  </si>
  <si>
    <t>Long Term Debt Interest</t>
  </si>
  <si>
    <t>Total Interest</t>
  </si>
  <si>
    <t>Net PP&amp;E</t>
  </si>
  <si>
    <t>2021E</t>
  </si>
  <si>
    <t>2022E</t>
  </si>
  <si>
    <t>2023E</t>
  </si>
  <si>
    <t>2024E</t>
  </si>
  <si>
    <t>2018A</t>
  </si>
  <si>
    <t>2019A</t>
  </si>
  <si>
    <t>2020A</t>
  </si>
  <si>
    <t>2025E</t>
  </si>
  <si>
    <t xml:space="preserve">Common Stock </t>
  </si>
  <si>
    <t>Increase/(Decrease) in Cash</t>
  </si>
  <si>
    <t>Cash, Beginning of the Year</t>
  </si>
  <si>
    <t>Cash, End of the Year</t>
  </si>
  <si>
    <t>R&amp;D Expense</t>
  </si>
  <si>
    <t>Administration Expense</t>
  </si>
  <si>
    <t>Marketing Expense</t>
  </si>
  <si>
    <t>R&amp;D expenses (Precent of Sales)</t>
  </si>
  <si>
    <t>Administrative Expense (Fixed Cost)</t>
  </si>
  <si>
    <t>Marketing Expense (Percent of Sales)</t>
  </si>
  <si>
    <t>Assumptions/ Drivers</t>
  </si>
  <si>
    <t>2022A</t>
  </si>
  <si>
    <t>2023A</t>
  </si>
  <si>
    <t>2024A</t>
  </si>
  <si>
    <t>2026E</t>
  </si>
  <si>
    <t>2027E</t>
  </si>
  <si>
    <t>2028E</t>
  </si>
  <si>
    <t>2029E</t>
  </si>
  <si>
    <t>3 Statement Model (Rs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</si>
</sst>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-* #,##0.00_-;\-* #,##0.00_-;_-* &quot;-&quot;??_-;_-@_-"/>
    <numFmt numFmtId="165" formatCode="_-* #,##0_-;\(#,##0\)_-;_-* &quot;-&quot;_-;_-@_-"/>
    <numFmt numFmtId="166" formatCode="#,##0_);\(#,##0\);\-"/>
    <numFmt numFmtId="167" formatCode="0.0%"/>
    <numFmt numFmtId="168" formatCode="[Blue]#,##0;[Blue]\(#,##0\);\-"/>
    <numFmt numFmtId="169" formatCode="#,##0_);[Red]\(#,##0\);\-"/>
    <numFmt numFmtId="170" formatCode="_(* #,##0_);_(* \(#,##0\);_(* &quot;-&quot;??_);_(@_)"/>
    <numFmt numFmtId="171" formatCode="0&quot;A&quot;"/>
    <numFmt numFmtId="172" formatCode="#,##0.0;[Red]\-#,##0.0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4"/>
      <color rgb="FFFFFFFF"/>
      <name val="Arial Narrow"/>
      <family val="2"/>
    </font>
    <font>
      <sz val="10"/>
      <name val="Bookman"/>
      <family val="1"/>
    </font>
    <font>
      <b/>
      <sz val="14"/>
      <color theme="0"/>
      <name val="Arial Narrow"/>
      <family val="2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FF"/>
      <name val="Arial Narrow"/>
      <family val="2"/>
    </font>
    <font>
      <sz val="11"/>
      <name val="Arial"/>
      <family val="2"/>
    </font>
    <font>
      <sz val="10"/>
      <name val="Bookman"/>
    </font>
    <font>
      <u/>
      <sz val="10"/>
      <color theme="10"/>
      <name val="Arial"/>
      <family val="2"/>
    </font>
    <font>
      <sz val="10"/>
      <name val="Arial"/>
      <family val="2"/>
    </font>
    <font>
      <sz val="2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D94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37" fontId="5" fillId="0" borderId="0" xfId="0" applyNumberFormat="1" applyFont="1"/>
    <xf numFmtId="165" fontId="9" fillId="0" borderId="0" xfId="2" applyNumberFormat="1" applyFont="1" applyProtection="1">
      <protection locked="0"/>
    </xf>
    <xf numFmtId="165" fontId="5" fillId="0" borderId="0" xfId="2" applyNumberFormat="1" applyFont="1" applyProtection="1">
      <protection locked="0"/>
    </xf>
    <xf numFmtId="165" fontId="9" fillId="0" borderId="0" xfId="2" applyNumberFormat="1" applyFont="1" applyAlignment="1" applyProtection="1">
      <alignment horizontal="center"/>
      <protection locked="0"/>
    </xf>
    <xf numFmtId="165" fontId="9" fillId="0" borderId="0" xfId="2" applyNumberFormat="1" applyFont="1" applyAlignment="1">
      <alignment horizontal="right"/>
    </xf>
    <xf numFmtId="37" fontId="8" fillId="2" borderId="0" xfId="0" applyNumberFormat="1" applyFont="1" applyFill="1" applyAlignment="1">
      <alignment vertical="center"/>
    </xf>
    <xf numFmtId="37" fontId="10" fillId="0" borderId="0" xfId="0" applyNumberFormat="1" applyFont="1" applyAlignment="1">
      <alignment vertical="center"/>
    </xf>
    <xf numFmtId="0" fontId="11" fillId="0" borderId="0" xfId="0" applyFont="1"/>
    <xf numFmtId="0" fontId="12" fillId="0" borderId="0" xfId="0" applyFont="1"/>
    <xf numFmtId="166" fontId="12" fillId="0" borderId="0" xfId="0" applyNumberFormat="1" applyFont="1"/>
    <xf numFmtId="166" fontId="13" fillId="0" borderId="0" xfId="0" applyNumberFormat="1" applyFont="1"/>
    <xf numFmtId="0" fontId="14" fillId="0" borderId="0" xfId="0" applyFont="1"/>
    <xf numFmtId="167" fontId="12" fillId="0" borderId="0" xfId="0" applyNumberFormat="1" applyFont="1"/>
    <xf numFmtId="168" fontId="12" fillId="0" borderId="0" xfId="0" applyNumberFormat="1" applyFont="1" applyProtection="1">
      <protection locked="0"/>
    </xf>
    <xf numFmtId="166" fontId="12" fillId="0" borderId="1" xfId="0" applyNumberFormat="1" applyFont="1" applyBorder="1"/>
    <xf numFmtId="0" fontId="11" fillId="0" borderId="2" xfId="0" applyFont="1" applyBorder="1"/>
    <xf numFmtId="169" fontId="11" fillId="0" borderId="0" xfId="0" applyNumberFormat="1" applyFont="1"/>
    <xf numFmtId="0" fontId="12" fillId="0" borderId="2" xfId="0" applyFont="1" applyBorder="1"/>
    <xf numFmtId="0" fontId="11" fillId="0" borderId="3" xfId="0" applyFont="1" applyBorder="1"/>
    <xf numFmtId="169" fontId="11" fillId="0" borderId="3" xfId="0" applyNumberFormat="1" applyFont="1" applyBorder="1"/>
    <xf numFmtId="16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 indent="1"/>
    </xf>
    <xf numFmtId="0" fontId="11" fillId="0" borderId="5" xfId="0" applyFont="1" applyBorder="1"/>
    <xf numFmtId="1" fontId="12" fillId="0" borderId="0" xfId="0" applyNumberFormat="1" applyFont="1"/>
    <xf numFmtId="37" fontId="3" fillId="3" borderId="0" xfId="0" applyNumberFormat="1" applyFont="1" applyFill="1" applyAlignment="1">
      <alignment vertical="top"/>
    </xf>
    <xf numFmtId="37" fontId="4" fillId="3" borderId="0" xfId="0" applyNumberFormat="1" applyFont="1" applyFill="1" applyAlignment="1">
      <alignment vertical="top"/>
    </xf>
    <xf numFmtId="166" fontId="8" fillId="2" borderId="0" xfId="0" applyNumberFormat="1" applyFont="1" applyFill="1" applyAlignment="1">
      <alignment horizontal="left" vertical="center"/>
    </xf>
    <xf numFmtId="1" fontId="8" fillId="2" borderId="0" xfId="0" applyNumberFormat="1" applyFont="1" applyFill="1" applyAlignment="1">
      <alignment horizontal="left" vertical="center"/>
    </xf>
    <xf numFmtId="170" fontId="11" fillId="0" borderId="0" xfId="5" applyNumberFormat="1" applyFont="1"/>
    <xf numFmtId="0" fontId="18" fillId="0" borderId="0" xfId="0" applyFont="1"/>
    <xf numFmtId="166" fontId="12" fillId="3" borderId="0" xfId="0" applyNumberFormat="1" applyFont="1" applyFill="1"/>
    <xf numFmtId="170" fontId="14" fillId="0" borderId="0" xfId="5" applyNumberFormat="1" applyFont="1"/>
    <xf numFmtId="167" fontId="13" fillId="3" borderId="0" xfId="1" applyNumberFormat="1" applyFont="1" applyFill="1" applyAlignment="1">
      <alignment horizontal="right"/>
    </xf>
    <xf numFmtId="167" fontId="12" fillId="3" borderId="0" xfId="1" applyNumberFormat="1" applyFont="1" applyFill="1"/>
    <xf numFmtId="167" fontId="13" fillId="3" borderId="0" xfId="1" applyNumberFormat="1" applyFont="1" applyFill="1"/>
    <xf numFmtId="38" fontId="12" fillId="3" borderId="0" xfId="0" applyNumberFormat="1" applyFont="1" applyFill="1"/>
    <xf numFmtId="0" fontId="12" fillId="3" borderId="0" xfId="0" applyFont="1" applyFill="1"/>
    <xf numFmtId="40" fontId="12" fillId="3" borderId="0" xfId="0" applyNumberFormat="1" applyFont="1" applyFill="1"/>
    <xf numFmtId="169" fontId="11" fillId="0" borderId="2" xfId="0" applyNumberFormat="1" applyFont="1" applyBorder="1"/>
    <xf numFmtId="170" fontId="11" fillId="3" borderId="0" xfId="5" applyNumberFormat="1" applyFont="1" applyFill="1"/>
    <xf numFmtId="0" fontId="11" fillId="3" borderId="0" xfId="0" applyFont="1" applyFill="1"/>
    <xf numFmtId="0" fontId="13" fillId="3" borderId="0" xfId="0" applyFont="1" applyFill="1"/>
    <xf numFmtId="170" fontId="14" fillId="3" borderId="0" xfId="5" applyNumberFormat="1" applyFont="1" applyFill="1"/>
    <xf numFmtId="0" fontId="11" fillId="3" borderId="2" xfId="0" applyFont="1" applyFill="1" applyBorder="1"/>
    <xf numFmtId="0" fontId="11" fillId="3" borderId="4" xfId="0" applyFont="1" applyFill="1" applyBorder="1"/>
    <xf numFmtId="169" fontId="12" fillId="3" borderId="0" xfId="0" applyNumberFormat="1" applyFont="1" applyFill="1"/>
    <xf numFmtId="37" fontId="8" fillId="4" borderId="0" xfId="0" applyNumberFormat="1" applyFont="1" applyFill="1" applyAlignment="1">
      <alignment vertical="center"/>
    </xf>
    <xf numFmtId="171" fontId="8" fillId="4" borderId="0" xfId="0" applyNumberFormat="1" applyFont="1" applyFill="1" applyAlignment="1">
      <alignment horizontal="left" vertical="center"/>
    </xf>
    <xf numFmtId="166" fontId="8" fillId="4" borderId="0" xfId="0" applyNumberFormat="1" applyFont="1" applyFill="1" applyAlignment="1">
      <alignment horizontal="left" vertical="center"/>
    </xf>
    <xf numFmtId="0" fontId="11" fillId="4" borderId="0" xfId="0" applyFont="1" applyFill="1"/>
    <xf numFmtId="0" fontId="6" fillId="5" borderId="0" xfId="0" applyFont="1" applyFill="1" applyAlignment="1">
      <alignment horizontal="left" vertical="center" readingOrder="1"/>
    </xf>
    <xf numFmtId="170" fontId="14" fillId="0" borderId="0" xfId="5" applyNumberFormat="1" applyFont="1" applyFill="1"/>
    <xf numFmtId="166" fontId="11" fillId="0" borderId="2" xfId="0" applyNumberFormat="1" applyFont="1" applyBorder="1"/>
    <xf numFmtId="166" fontId="5" fillId="0" borderId="0" xfId="0" applyNumberFormat="1" applyFont="1"/>
    <xf numFmtId="166" fontId="11" fillId="0" borderId="0" xfId="0" applyNumberFormat="1" applyFont="1"/>
    <xf numFmtId="166" fontId="13" fillId="0" borderId="0" xfId="0" applyNumberFormat="1" applyFont="1" applyAlignment="1">
      <alignment horizontal="right"/>
    </xf>
    <xf numFmtId="172" fontId="13" fillId="3" borderId="0" xfId="0" applyNumberFormat="1" applyFont="1" applyFill="1"/>
    <xf numFmtId="166" fontId="12" fillId="6" borderId="0" xfId="0" applyNumberFormat="1" applyFont="1" applyFill="1"/>
    <xf numFmtId="166" fontId="11" fillId="6" borderId="2" xfId="0" applyNumberFormat="1" applyFont="1" applyFill="1" applyBorder="1"/>
    <xf numFmtId="166" fontId="12" fillId="6" borderId="0" xfId="0" applyNumberFormat="1" applyFont="1" applyFill="1" applyAlignment="1">
      <alignment horizontal="right"/>
    </xf>
    <xf numFmtId="166" fontId="12" fillId="6" borderId="1" xfId="0" applyNumberFormat="1" applyFont="1" applyFill="1" applyBorder="1"/>
  </cellXfs>
  <cellStyles count="7">
    <cellStyle name="Comma" xfId="5" builtinId="3"/>
    <cellStyle name="Comma 2" xfId="2"/>
    <cellStyle name="Hyperlink 2 2" xfId="4"/>
    <cellStyle name="Normal" xfId="0" builtinId="0"/>
    <cellStyle name="Normal 2" xfId="6"/>
    <cellStyle name="Normal 2 2" xfId="3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55"/>
  <sheetViews>
    <sheetView showGridLines="0" zoomScaleNormal="100" workbookViewId="0">
      <pane ySplit="3" topLeftCell="A4" activePane="bottomLeft" state="frozen"/>
      <selection pane="bottomLeft" activeCell="J9" sqref="J9"/>
    </sheetView>
  </sheetViews>
  <sheetFormatPr defaultColWidth="9.1796875" defaultRowHeight="14"/>
  <cols>
    <col min="1" max="1" width="41.26953125" style="9" customWidth="1"/>
    <col min="2" max="8" width="13.1796875" style="9" customWidth="1"/>
    <col min="9" max="9" width="12.54296875" style="9" customWidth="1"/>
    <col min="10" max="16384" width="9.1796875" style="9"/>
  </cols>
  <sheetData>
    <row r="1" spans="1:9" s="1" customFormat="1" ht="19.899999999999999" customHeight="1">
      <c r="A1" s="51" t="s">
        <v>99</v>
      </c>
      <c r="B1" s="25"/>
      <c r="C1" s="26"/>
      <c r="D1" s="26"/>
      <c r="E1" s="26"/>
      <c r="F1" s="26"/>
      <c r="G1" s="26"/>
      <c r="H1" s="26"/>
    </row>
    <row r="2" spans="1:9" s="3" customFormat="1" ht="14.65" customHeight="1">
      <c r="A2" s="2"/>
      <c r="B2" s="2"/>
      <c r="C2" s="4"/>
      <c r="D2" s="4"/>
      <c r="E2" s="5"/>
      <c r="F2" s="5"/>
      <c r="G2" s="5"/>
      <c r="H2" s="5"/>
    </row>
    <row r="3" spans="1:9" s="7" customFormat="1" ht="19.899999999999999" customHeight="1">
      <c r="A3" s="47" t="s">
        <v>91</v>
      </c>
      <c r="B3" s="48" t="s">
        <v>92</v>
      </c>
      <c r="C3" s="48" t="s">
        <v>93</v>
      </c>
      <c r="D3" s="48" t="s">
        <v>94</v>
      </c>
      <c r="E3" s="49" t="s">
        <v>80</v>
      </c>
      <c r="F3" s="49" t="s">
        <v>95</v>
      </c>
      <c r="G3" s="49" t="s">
        <v>96</v>
      </c>
      <c r="H3" s="49" t="s">
        <v>97</v>
      </c>
      <c r="I3" s="49" t="s">
        <v>98</v>
      </c>
    </row>
    <row r="4" spans="1:9" ht="14.65" customHeight="1">
      <c r="A4" s="8"/>
      <c r="E4" s="10"/>
      <c r="F4" s="10"/>
      <c r="G4" s="10"/>
      <c r="H4" s="10"/>
    </row>
    <row r="5" spans="1:9" ht="14.65" customHeight="1">
      <c r="A5" s="8" t="s">
        <v>0</v>
      </c>
      <c r="C5" s="13"/>
      <c r="E5" s="10"/>
      <c r="F5" s="10"/>
      <c r="G5" s="10"/>
      <c r="H5" s="10"/>
    </row>
    <row r="6" spans="1:9" ht="14.65" customHeight="1">
      <c r="A6" s="9" t="s">
        <v>1</v>
      </c>
      <c r="B6" s="33"/>
      <c r="C6" s="34">
        <f>('Income Statement'!C5-'Income Statement'!B5)/'Income Statement'!B5</f>
        <v>8.7499999999999883E-2</v>
      </c>
      <c r="D6" s="34">
        <f>('Income Statement'!D5-'Income Statement'!C5)/'Income Statement'!C5</f>
        <v>9.2000000000000026E-2</v>
      </c>
      <c r="E6" s="35">
        <f>AVERAGE($C$6:$D$6)</f>
        <v>8.9749999999999955E-2</v>
      </c>
      <c r="F6" s="35">
        <f t="shared" ref="F6:I6" si="0">AVERAGE($C$6:$D$6)</f>
        <v>8.9749999999999955E-2</v>
      </c>
      <c r="G6" s="35">
        <f t="shared" si="0"/>
        <v>8.9749999999999955E-2</v>
      </c>
      <c r="H6" s="35">
        <f t="shared" si="0"/>
        <v>8.9749999999999955E-2</v>
      </c>
      <c r="I6" s="35">
        <f t="shared" si="0"/>
        <v>8.9749999999999955E-2</v>
      </c>
    </row>
    <row r="7" spans="1:9" ht="14.65" customHeight="1">
      <c r="A7" s="9" t="s">
        <v>2</v>
      </c>
      <c r="B7" s="34">
        <f>'Income Statement'!B7/'Income Statement'!B5</f>
        <v>0.65000000000000013</v>
      </c>
      <c r="C7" s="34">
        <f>'Income Statement'!C7/'Income Statement'!C5</f>
        <v>0.67</v>
      </c>
      <c r="D7" s="34">
        <f>'Income Statement'!D7/'Income Statement'!D5</f>
        <v>0.68</v>
      </c>
      <c r="E7" s="35">
        <f>AVERAGE($B7:$D7)</f>
        <v>0.66666666666666685</v>
      </c>
      <c r="F7" s="35">
        <f t="shared" ref="F7:I8" si="1">AVERAGE($B7:$D7)</f>
        <v>0.66666666666666685</v>
      </c>
      <c r="G7" s="35">
        <f t="shared" si="1"/>
        <v>0.66666666666666685</v>
      </c>
      <c r="H7" s="35">
        <f t="shared" si="1"/>
        <v>0.66666666666666685</v>
      </c>
      <c r="I7" s="35">
        <f t="shared" si="1"/>
        <v>0.66666666666666685</v>
      </c>
    </row>
    <row r="8" spans="1:9" ht="14.65" customHeight="1">
      <c r="A8" s="9" t="s">
        <v>88</v>
      </c>
      <c r="B8" s="34">
        <f>'Income Statement'!B8/'Income Statement'!B5</f>
        <v>7.0000000000000007E-2</v>
      </c>
      <c r="C8" s="34">
        <f>'Income Statement'!C8/'Income Statement'!C5</f>
        <v>7.9000000000000001E-2</v>
      </c>
      <c r="D8" s="34">
        <f>'Income Statement'!D8/'Income Statement'!D5</f>
        <v>8.4000000000000005E-2</v>
      </c>
      <c r="E8" s="35">
        <f>AVERAGE($B8:$D8)</f>
        <v>7.7666666666666676E-2</v>
      </c>
      <c r="F8" s="35">
        <f t="shared" si="1"/>
        <v>7.7666666666666676E-2</v>
      </c>
      <c r="G8" s="35">
        <f t="shared" si="1"/>
        <v>7.7666666666666676E-2</v>
      </c>
      <c r="H8" s="35">
        <f t="shared" si="1"/>
        <v>7.7666666666666676E-2</v>
      </c>
      <c r="I8" s="35">
        <f t="shared" si="1"/>
        <v>7.7666666666666676E-2</v>
      </c>
    </row>
    <row r="9" spans="1:9" ht="14.65" customHeight="1">
      <c r="A9" s="9" t="s">
        <v>89</v>
      </c>
      <c r="B9" s="36">
        <f>'Income Statement'!B9</f>
        <v>35206</v>
      </c>
      <c r="C9" s="36">
        <f>'Income Statement'!C9</f>
        <v>37000</v>
      </c>
      <c r="D9" s="36">
        <f>'Income Statement'!D9</f>
        <v>36000</v>
      </c>
      <c r="E9" s="57">
        <f>AVERAGE($B$9:$D$9)</f>
        <v>36068.666666666664</v>
      </c>
      <c r="F9" s="57">
        <f t="shared" ref="F9:I9" si="2">AVERAGE($B$9:$D$9)</f>
        <v>36068.666666666664</v>
      </c>
      <c r="G9" s="57">
        <f t="shared" si="2"/>
        <v>36068.666666666664</v>
      </c>
      <c r="H9" s="57">
        <f t="shared" si="2"/>
        <v>36068.666666666664</v>
      </c>
      <c r="I9" s="57">
        <f t="shared" si="2"/>
        <v>36068.666666666664</v>
      </c>
    </row>
    <row r="10" spans="1:9" ht="14.65" customHeight="1">
      <c r="A10" s="9" t="s">
        <v>90</v>
      </c>
      <c r="B10" s="34">
        <f>'Income Statement'!B10/'Income Statement'!B5</f>
        <v>2.7E-2</v>
      </c>
      <c r="C10" s="34">
        <f>'Income Statement'!C10/'Income Statement'!C5</f>
        <v>2.7E-2</v>
      </c>
      <c r="D10" s="34">
        <f>'Income Statement'!D10/'Income Statement'!D5</f>
        <v>2.7000000000000003E-2</v>
      </c>
      <c r="E10" s="35">
        <f>AVERAGE($B10:$D10)</f>
        <v>2.7E-2</v>
      </c>
      <c r="F10" s="35">
        <f t="shared" ref="F10:I11" si="3">AVERAGE($B10:$D10)</f>
        <v>2.7E-2</v>
      </c>
      <c r="G10" s="35">
        <f t="shared" si="3"/>
        <v>2.7E-2</v>
      </c>
      <c r="H10" s="35">
        <f t="shared" si="3"/>
        <v>2.7E-2</v>
      </c>
      <c r="I10" s="35">
        <f t="shared" si="3"/>
        <v>2.7E-2</v>
      </c>
    </row>
    <row r="11" spans="1:9" ht="14.65" customHeight="1">
      <c r="A11" s="9" t="s">
        <v>3</v>
      </c>
      <c r="B11" s="34">
        <f>'Income Statement'!B11/'Income Statement'!B5</f>
        <v>5.800000000000001E-2</v>
      </c>
      <c r="C11" s="34">
        <f>'Income Statement'!C11/'Income Statement'!C5</f>
        <v>0.06</v>
      </c>
      <c r="D11" s="34">
        <f>'Income Statement'!D11/'Income Statement'!D5</f>
        <v>6.3E-2</v>
      </c>
      <c r="E11" s="35">
        <f>AVERAGE($B11:$D11)</f>
        <v>6.0333333333333329E-2</v>
      </c>
      <c r="F11" s="35">
        <f t="shared" si="3"/>
        <v>6.0333333333333329E-2</v>
      </c>
      <c r="G11" s="35">
        <f t="shared" si="3"/>
        <v>6.0333333333333329E-2</v>
      </c>
      <c r="H11" s="35">
        <f t="shared" si="3"/>
        <v>6.0333333333333329E-2</v>
      </c>
      <c r="I11" s="35">
        <f t="shared" si="3"/>
        <v>6.0333333333333329E-2</v>
      </c>
    </row>
    <row r="12" spans="1:9" ht="14.65" customHeight="1">
      <c r="A12" s="9" t="s">
        <v>4</v>
      </c>
      <c r="B12" s="34"/>
      <c r="C12" s="34">
        <f>'Income Statement'!B13/AVERAGE('Balance Sheet'!B21:C21)</f>
        <v>6.2E-2</v>
      </c>
      <c r="D12" s="34">
        <f>'Income Statement'!D13/AVERAGE('Balance Sheet'!C21:D21)</f>
        <v>6.7000000000000004E-2</v>
      </c>
      <c r="E12" s="35">
        <f>AVERAGE($C12:$D12)</f>
        <v>6.4500000000000002E-2</v>
      </c>
      <c r="F12" s="35">
        <f t="shared" ref="F12:I12" si="4">AVERAGE($C12:$D12)</f>
        <v>6.4500000000000002E-2</v>
      </c>
      <c r="G12" s="35">
        <f t="shared" si="4"/>
        <v>6.4500000000000002E-2</v>
      </c>
      <c r="H12" s="35">
        <f t="shared" si="4"/>
        <v>6.4500000000000002E-2</v>
      </c>
      <c r="I12" s="35">
        <f t="shared" si="4"/>
        <v>6.4500000000000002E-2</v>
      </c>
    </row>
    <row r="13" spans="1:9" ht="14.65" customHeight="1">
      <c r="A13" s="9" t="s">
        <v>5</v>
      </c>
      <c r="B13" s="34">
        <f>'Income Statement'!B15/'Income Statement'!B14</f>
        <v>0.18</v>
      </c>
      <c r="C13" s="34">
        <f>'Income Statement'!C15/'Income Statement'!C14</f>
        <v>0.18</v>
      </c>
      <c r="D13" s="34">
        <f>'Income Statement'!D15/'Income Statement'!D14</f>
        <v>0.18</v>
      </c>
      <c r="E13" s="35">
        <f>AVERAGE($B$13:$D$13)</f>
        <v>0.18000000000000002</v>
      </c>
      <c r="F13" s="35">
        <f t="shared" ref="F13:I13" si="5">AVERAGE($B$13:$D$13)</f>
        <v>0.18000000000000002</v>
      </c>
      <c r="G13" s="35">
        <f t="shared" si="5"/>
        <v>0.18000000000000002</v>
      </c>
      <c r="H13" s="35">
        <f t="shared" si="5"/>
        <v>0.18000000000000002</v>
      </c>
      <c r="I13" s="35">
        <f t="shared" si="5"/>
        <v>0.18000000000000002</v>
      </c>
    </row>
    <row r="14" spans="1:9" ht="14.65" customHeight="1">
      <c r="B14" s="37"/>
      <c r="C14" s="37"/>
      <c r="D14" s="37"/>
      <c r="E14" s="31"/>
      <c r="F14" s="31"/>
      <c r="G14" s="31"/>
      <c r="H14" s="31"/>
      <c r="I14" s="31"/>
    </row>
    <row r="15" spans="1:9" ht="14.65" customHeight="1">
      <c r="A15" s="8" t="s">
        <v>6</v>
      </c>
      <c r="B15" s="37"/>
      <c r="C15" s="37"/>
      <c r="D15" s="37"/>
      <c r="E15" s="31"/>
      <c r="F15" s="31"/>
      <c r="G15" s="31"/>
      <c r="H15" s="31"/>
      <c r="I15" s="31"/>
    </row>
    <row r="16" spans="1:9" ht="14.65" customHeight="1">
      <c r="A16" s="9" t="s">
        <v>7</v>
      </c>
      <c r="B16" s="38">
        <f>'Income Statement'!B5/'Balance Sheet'!B12</f>
        <v>6</v>
      </c>
      <c r="C16" s="38">
        <f>'Income Statement'!C5/'Balance Sheet'!C12</f>
        <v>6.2</v>
      </c>
      <c r="D16" s="38">
        <f>'Income Statement'!D5/'Balance Sheet'!D12</f>
        <v>6.5</v>
      </c>
      <c r="E16" s="57">
        <f>AVERAGE($B16:$D16)</f>
        <v>6.2333333333333334</v>
      </c>
      <c r="F16" s="57">
        <f t="shared" ref="F16:I23" si="6">AVERAGE($B16:$D16)</f>
        <v>6.2333333333333334</v>
      </c>
      <c r="G16" s="57">
        <f t="shared" si="6"/>
        <v>6.2333333333333334</v>
      </c>
      <c r="H16" s="57">
        <f t="shared" si="6"/>
        <v>6.2333333333333334</v>
      </c>
      <c r="I16" s="57">
        <f t="shared" si="6"/>
        <v>6.2333333333333334</v>
      </c>
    </row>
    <row r="17" spans="1:9" ht="14.65" customHeight="1">
      <c r="A17" s="9" t="s">
        <v>8</v>
      </c>
      <c r="B17" s="36">
        <f>'Balance Sheet'!B8/'Income Statement'!B5*365</f>
        <v>67</v>
      </c>
      <c r="C17" s="36">
        <f>('Balance Sheet'!C8/'Income Statement'!C5)*365</f>
        <v>69</v>
      </c>
      <c r="D17" s="36">
        <f>('Balance Sheet'!D8/'Income Statement'!D5)*365</f>
        <v>68</v>
      </c>
      <c r="E17" s="57">
        <f t="shared" ref="E17:E23" si="7">AVERAGE($B17:$D17)</f>
        <v>68</v>
      </c>
      <c r="F17" s="57">
        <f t="shared" si="6"/>
        <v>68</v>
      </c>
      <c r="G17" s="57">
        <f t="shared" si="6"/>
        <v>68</v>
      </c>
      <c r="H17" s="57">
        <f t="shared" si="6"/>
        <v>68</v>
      </c>
      <c r="I17" s="57">
        <f t="shared" si="6"/>
        <v>68</v>
      </c>
    </row>
    <row r="18" spans="1:9" ht="14.65" customHeight="1">
      <c r="A18" s="9" t="s">
        <v>9</v>
      </c>
      <c r="B18" s="36">
        <f>'Balance Sheet'!B9/'Income Statement'!B6*365</f>
        <v>50</v>
      </c>
      <c r="C18" s="36">
        <f>'Balance Sheet'!C9/'Income Statement'!C6*365</f>
        <v>55</v>
      </c>
      <c r="D18" s="36">
        <f>'Balance Sheet'!D9/'Income Statement'!D6*365</f>
        <v>55.999999999999993</v>
      </c>
      <c r="E18" s="57">
        <f t="shared" si="7"/>
        <v>53.666666666666664</v>
      </c>
      <c r="F18" s="57">
        <f t="shared" si="6"/>
        <v>53.666666666666664</v>
      </c>
      <c r="G18" s="57">
        <f t="shared" si="6"/>
        <v>53.666666666666664</v>
      </c>
      <c r="H18" s="57">
        <f t="shared" si="6"/>
        <v>53.666666666666664</v>
      </c>
      <c r="I18" s="57">
        <f t="shared" si="6"/>
        <v>53.666666666666664</v>
      </c>
    </row>
    <row r="19" spans="1:9" ht="14.65" customHeight="1">
      <c r="A19" s="9" t="s">
        <v>10</v>
      </c>
      <c r="B19" s="36">
        <f>'Balance Sheet'!B17/'Income Statement'!B6*365</f>
        <v>75</v>
      </c>
      <c r="C19" s="36">
        <f>'Balance Sheet'!C17/'Income Statement'!C6*365</f>
        <v>76</v>
      </c>
      <c r="D19" s="36">
        <f>'Balance Sheet'!D17/'Income Statement'!D6*365</f>
        <v>76</v>
      </c>
      <c r="E19" s="57">
        <f t="shared" si="7"/>
        <v>75.666666666666671</v>
      </c>
      <c r="F19" s="57">
        <f t="shared" si="6"/>
        <v>75.666666666666671</v>
      </c>
      <c r="G19" s="57">
        <f t="shared" si="6"/>
        <v>75.666666666666671</v>
      </c>
      <c r="H19" s="57">
        <f t="shared" si="6"/>
        <v>75.666666666666671</v>
      </c>
      <c r="I19" s="57">
        <f t="shared" si="6"/>
        <v>75.666666666666671</v>
      </c>
    </row>
    <row r="20" spans="1:9" ht="14.65" customHeight="1">
      <c r="A20" s="9" t="s">
        <v>11</v>
      </c>
      <c r="B20" s="34">
        <f>'Balance Sheet'!B18/'Income Statement'!B15</f>
        <v>0.29399999999999998</v>
      </c>
      <c r="C20" s="34">
        <f>'Balance Sheet'!C18/'Income Statement'!C15</f>
        <v>0.23799999999999999</v>
      </c>
      <c r="D20" s="34">
        <f>'Balance Sheet'!D18/'Income Statement'!D15</f>
        <v>0.2</v>
      </c>
      <c r="E20" s="35">
        <f t="shared" si="7"/>
        <v>0.24399999999999999</v>
      </c>
      <c r="F20" s="35">
        <f t="shared" si="6"/>
        <v>0.24399999999999999</v>
      </c>
      <c r="G20" s="35">
        <f t="shared" si="6"/>
        <v>0.24399999999999999</v>
      </c>
      <c r="H20" s="35">
        <f t="shared" si="6"/>
        <v>0.24399999999999999</v>
      </c>
      <c r="I20" s="35">
        <f t="shared" si="6"/>
        <v>0.24399999999999999</v>
      </c>
    </row>
    <row r="21" spans="1:9" ht="14.65" customHeight="1">
      <c r="A21" s="9" t="s">
        <v>12</v>
      </c>
      <c r="B21" s="36">
        <f>'Balance Sheet'!B21</f>
        <v>40000</v>
      </c>
      <c r="C21" s="36">
        <f>'Balance Sheet'!C21</f>
        <v>40000</v>
      </c>
      <c r="D21" s="36">
        <f>'Balance Sheet'!D21</f>
        <v>40000</v>
      </c>
      <c r="E21" s="57">
        <f t="shared" si="7"/>
        <v>40000</v>
      </c>
      <c r="F21" s="57">
        <f t="shared" si="6"/>
        <v>40000</v>
      </c>
      <c r="G21" s="57">
        <f t="shared" si="6"/>
        <v>40000</v>
      </c>
      <c r="H21" s="57">
        <f t="shared" si="6"/>
        <v>40000</v>
      </c>
      <c r="I21" s="57">
        <f t="shared" si="6"/>
        <v>40000</v>
      </c>
    </row>
    <row r="22" spans="1:9" ht="14.65" customHeight="1">
      <c r="A22" s="9" t="s">
        <v>13</v>
      </c>
      <c r="B22" s="36">
        <f>'Balance Sheet'!B23</f>
        <v>9234</v>
      </c>
      <c r="C22" s="36">
        <f>'Balance Sheet'!C23</f>
        <v>9234</v>
      </c>
      <c r="D22" s="36">
        <f>'Balance Sheet'!D23</f>
        <v>9234</v>
      </c>
      <c r="E22" s="57">
        <f t="shared" si="7"/>
        <v>9234</v>
      </c>
      <c r="F22" s="57">
        <f t="shared" si="6"/>
        <v>9234</v>
      </c>
      <c r="G22" s="57">
        <f t="shared" si="6"/>
        <v>9234</v>
      </c>
      <c r="H22" s="57">
        <f t="shared" si="6"/>
        <v>9234</v>
      </c>
      <c r="I22" s="57">
        <f t="shared" si="6"/>
        <v>9234</v>
      </c>
    </row>
    <row r="23" spans="1:9" ht="14.65" customHeight="1">
      <c r="A23" s="9" t="s">
        <v>14</v>
      </c>
      <c r="B23" s="34">
        <f>'Income Statement'!B18/'Income Statement'!B16</f>
        <v>0.53200000000000003</v>
      </c>
      <c r="C23" s="34">
        <f>'Income Statement'!C18/'Income Statement'!C16</f>
        <v>0.41499999999999998</v>
      </c>
      <c r="D23" s="34">
        <f>'Income Statement'!D18/'Income Statement'!D16</f>
        <v>0.38</v>
      </c>
      <c r="E23" s="35">
        <f t="shared" si="7"/>
        <v>0.4423333333333333</v>
      </c>
      <c r="F23" s="35">
        <f t="shared" si="6"/>
        <v>0.4423333333333333</v>
      </c>
      <c r="G23" s="35">
        <f t="shared" si="6"/>
        <v>0.4423333333333333</v>
      </c>
      <c r="H23" s="35">
        <f t="shared" si="6"/>
        <v>0.4423333333333333</v>
      </c>
      <c r="I23" s="35">
        <f t="shared" si="6"/>
        <v>0.4423333333333333</v>
      </c>
    </row>
    <row r="24" spans="1:9" ht="14.65" customHeight="1">
      <c r="B24" s="14"/>
      <c r="C24" s="14"/>
      <c r="D24" s="14"/>
      <c r="E24" s="14"/>
      <c r="F24" s="14"/>
      <c r="G24" s="14"/>
      <c r="H24" s="14"/>
    </row>
    <row r="25" spans="1:9" ht="14.65" customHeight="1">
      <c r="E25" s="10"/>
      <c r="F25" s="10"/>
      <c r="G25" s="10"/>
      <c r="H25" s="10"/>
    </row>
    <row r="26" spans="1:9" ht="14.65" customHeight="1"/>
    <row r="27" spans="1:9" ht="14.65" customHeight="1"/>
    <row r="28" spans="1:9" ht="14.65" customHeight="1"/>
    <row r="29" spans="1:9" ht="14.65" customHeight="1"/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</sheetData>
  <conditionalFormatting sqref="E2:H2">
    <cfRule type="containsText" dxfId="7" priority="7" operator="containsText" text="OK">
      <formula>NOT(ISERROR(SEARCH("OK",E2)))</formula>
    </cfRule>
    <cfRule type="containsText" dxfId="6" priority="8" operator="containsText" text="ERROR">
      <formula>NOT(ISERROR(SEARCH("ERROR",E2)))</formula>
    </cfRule>
  </conditionalFormatting>
  <pageMargins left="0.75" right="0.75" top="1" bottom="1" header="0.5" footer="0.5"/>
  <pageSetup scale="57" fitToHeight="0" orientation="landscape" blackAndWhite="1" r:id="rId1"/>
  <headerFooter alignWithMargins="0">
    <oddFooter>&amp;R&amp;6© Management Development Associates (NA) Inc. - 21317</oddFooter>
  </headerFooter>
  <ignoredErrors>
    <ignoredError sqref="C12:D12" formulaRange="1"/>
    <ignoredError sqref="E9:I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61"/>
  <sheetViews>
    <sheetView showGridLines="0" zoomScaleNormal="100" workbookViewId="0">
      <pane ySplit="3" topLeftCell="A4" activePane="bottomLeft" state="frozen"/>
      <selection activeCell="F2" sqref="F2"/>
      <selection pane="bottomLeft" activeCell="F16" sqref="F16"/>
    </sheetView>
  </sheetViews>
  <sheetFormatPr defaultColWidth="9.1796875" defaultRowHeight="14"/>
  <cols>
    <col min="1" max="1" width="41.26953125" style="9" customWidth="1"/>
    <col min="2" max="4" width="13.1796875" style="9" customWidth="1"/>
    <col min="5" max="5" width="13.90625" style="9" customWidth="1"/>
    <col min="6" max="8" width="13.1796875" style="9" customWidth="1"/>
    <col min="9" max="9" width="11.26953125" style="9" customWidth="1"/>
    <col min="10" max="16384" width="9.1796875" style="9"/>
  </cols>
  <sheetData>
    <row r="1" spans="1:10" s="1" customFormat="1" ht="19.899999999999999" customHeight="1">
      <c r="A1" s="51" t="s">
        <v>99</v>
      </c>
      <c r="B1" s="25"/>
      <c r="C1" s="26"/>
      <c r="D1" s="26"/>
      <c r="E1" s="26"/>
      <c r="F1" s="26"/>
      <c r="G1" s="26"/>
      <c r="H1" s="26"/>
    </row>
    <row r="2" spans="1:10" s="3" customFormat="1" ht="14.65" customHeight="1">
      <c r="A2" s="2"/>
      <c r="B2" s="2"/>
      <c r="C2" s="4"/>
      <c r="D2" s="4"/>
      <c r="E2" s="5"/>
      <c r="F2" s="5"/>
      <c r="G2" s="5"/>
      <c r="H2" s="5"/>
    </row>
    <row r="3" spans="1:10" s="7" customFormat="1" ht="19.899999999999999" customHeight="1">
      <c r="A3" s="47" t="s">
        <v>0</v>
      </c>
      <c r="B3" s="48" t="s">
        <v>92</v>
      </c>
      <c r="C3" s="48" t="s">
        <v>93</v>
      </c>
      <c r="D3" s="48" t="s">
        <v>94</v>
      </c>
      <c r="E3" s="49" t="s">
        <v>80</v>
      </c>
      <c r="F3" s="49" t="s">
        <v>95</v>
      </c>
      <c r="G3" s="49" t="s">
        <v>96</v>
      </c>
      <c r="H3" s="49" t="s">
        <v>97</v>
      </c>
      <c r="I3" s="49" t="s">
        <v>98</v>
      </c>
    </row>
    <row r="4" spans="1:10" ht="14.65" customHeight="1">
      <c r="A4" s="8"/>
      <c r="E4" s="10"/>
      <c r="F4" s="10"/>
      <c r="G4" s="10"/>
      <c r="H4" s="10"/>
    </row>
    <row r="5" spans="1:10" ht="14.65" customHeight="1">
      <c r="A5" s="8" t="s">
        <v>15</v>
      </c>
      <c r="B5" s="32">
        <v>144460.33971414389</v>
      </c>
      <c r="C5" s="32">
        <v>157100.61943913146</v>
      </c>
      <c r="D5" s="32">
        <v>171553.87642753156</v>
      </c>
      <c r="E5" s="10">
        <f>D5*(1+Assumptions!E6)</f>
        <v>186950.83683690251</v>
      </c>
      <c r="F5" s="10">
        <f>E5*(1+Assumptions!F6)</f>
        <v>203729.67444301452</v>
      </c>
      <c r="G5" s="10">
        <f>F5*(1+Assumptions!G6)</f>
        <v>222014.41272427508</v>
      </c>
      <c r="H5" s="10">
        <f>G5*(1+Assumptions!H6)</f>
        <v>241940.20626627878</v>
      </c>
      <c r="I5" s="10">
        <f>H5*(1+Assumptions!I6)</f>
        <v>263654.33977867733</v>
      </c>
    </row>
    <row r="6" spans="1:10" ht="14.65" customHeight="1">
      <c r="A6" s="9" t="s">
        <v>16</v>
      </c>
      <c r="B6" s="32">
        <v>50561.118899950357</v>
      </c>
      <c r="C6" s="32">
        <v>51843.20441491338</v>
      </c>
      <c r="D6" s="32">
        <v>54897.24045681009</v>
      </c>
      <c r="E6" s="15">
        <f>E5*(1-Assumptions!E7)</f>
        <v>62316.945612300806</v>
      </c>
      <c r="F6" s="15">
        <f>F5*(1-Assumptions!F7)</f>
        <v>67909.891481004801</v>
      </c>
      <c r="G6" s="15">
        <f>G5*(1-Assumptions!G7)</f>
        <v>74004.804241424994</v>
      </c>
      <c r="H6" s="15">
        <f>H5*(1-Assumptions!H7)</f>
        <v>80646.735422092883</v>
      </c>
      <c r="I6" s="15">
        <f>I5*(1-Assumptions!I7)</f>
        <v>87884.779926225732</v>
      </c>
    </row>
    <row r="7" spans="1:10" ht="14.65" customHeight="1">
      <c r="A7" s="16" t="s">
        <v>17</v>
      </c>
      <c r="B7" s="17">
        <f>B5-B6</f>
        <v>93899.220814193541</v>
      </c>
      <c r="C7" s="17">
        <f t="shared" ref="C7:D7" si="0">C5-C6</f>
        <v>105257.41502421809</v>
      </c>
      <c r="D7" s="17">
        <f t="shared" si="0"/>
        <v>116656.63597072147</v>
      </c>
      <c r="E7" s="17">
        <f>E5-E6</f>
        <v>124633.89122460171</v>
      </c>
      <c r="F7" s="17">
        <f t="shared" ref="F7:I7" si="1">F5-F6</f>
        <v>135819.78296200972</v>
      </c>
      <c r="G7" s="17">
        <f t="shared" si="1"/>
        <v>148009.60848285008</v>
      </c>
      <c r="H7" s="17">
        <f t="shared" si="1"/>
        <v>161293.47084418591</v>
      </c>
      <c r="I7" s="17">
        <f t="shared" si="1"/>
        <v>175769.55985245161</v>
      </c>
    </row>
    <row r="8" spans="1:10" ht="14.65" customHeight="1">
      <c r="A8" s="9" t="s">
        <v>85</v>
      </c>
      <c r="B8" s="32">
        <v>10112.223779990074</v>
      </c>
      <c r="C8" s="32">
        <v>12410.948935691385</v>
      </c>
      <c r="D8" s="32">
        <v>14410.525619912652</v>
      </c>
      <c r="E8" s="58"/>
      <c r="F8" s="58"/>
      <c r="G8" s="58"/>
      <c r="H8" s="58"/>
      <c r="I8" s="58"/>
    </row>
    <row r="9" spans="1:10" ht="14.65" customHeight="1">
      <c r="A9" s="9" t="s">
        <v>86</v>
      </c>
      <c r="B9" s="32">
        <v>35206</v>
      </c>
      <c r="C9" s="32">
        <v>37000</v>
      </c>
      <c r="D9" s="32">
        <v>36000</v>
      </c>
      <c r="E9" s="58"/>
      <c r="F9" s="58"/>
      <c r="G9" s="58"/>
      <c r="H9" s="58"/>
      <c r="I9" s="58"/>
    </row>
    <row r="10" spans="1:10" ht="14.65" customHeight="1">
      <c r="A10" s="9" t="s">
        <v>87</v>
      </c>
      <c r="B10" s="32">
        <v>3900.4291722818848</v>
      </c>
      <c r="C10" s="32">
        <v>4241.7167248565493</v>
      </c>
      <c r="D10" s="32">
        <v>4631.9546635433526</v>
      </c>
      <c r="E10" s="10">
        <f>E5*Assumptions!E10</f>
        <v>5047.6725945963681</v>
      </c>
      <c r="F10" s="10">
        <f>F5*Assumptions!F10</f>
        <v>5500.7012099613921</v>
      </c>
      <c r="G10" s="10">
        <f>G5*Assumptions!G10</f>
        <v>5994.3891435554269</v>
      </c>
      <c r="H10" s="10">
        <f>H5*Assumptions!H10</f>
        <v>6532.3855691895269</v>
      </c>
      <c r="I10" s="10">
        <f>I5*Assumptions!I10</f>
        <v>7118.6671740242882</v>
      </c>
    </row>
    <row r="11" spans="1:10" ht="14.65" customHeight="1">
      <c r="A11" s="9" t="s">
        <v>18</v>
      </c>
      <c r="B11" s="32">
        <v>8378.6997034203469</v>
      </c>
      <c r="C11" s="32">
        <v>9426.0371663478873</v>
      </c>
      <c r="D11" s="32">
        <v>10807.894214934489</v>
      </c>
      <c r="E11" s="58"/>
      <c r="F11" s="58"/>
      <c r="G11" s="58"/>
      <c r="H11" s="58"/>
      <c r="I11" s="58"/>
    </row>
    <row r="12" spans="1:10" ht="14.65" customHeight="1">
      <c r="A12" s="16" t="s">
        <v>19</v>
      </c>
      <c r="B12" s="29">
        <f t="shared" ref="B12:I12" si="2">B7-SUM(B8:B11)</f>
        <v>36301.868158501238</v>
      </c>
      <c r="C12" s="29">
        <f t="shared" si="2"/>
        <v>42178.712197322267</v>
      </c>
      <c r="D12" s="29">
        <f t="shared" si="2"/>
        <v>50806.261472330982</v>
      </c>
      <c r="E12" s="29">
        <f t="shared" si="2"/>
        <v>119586.21863000534</v>
      </c>
      <c r="F12" s="29">
        <f t="shared" si="2"/>
        <v>130319.08175204833</v>
      </c>
      <c r="G12" s="29">
        <f t="shared" si="2"/>
        <v>142015.21933929465</v>
      </c>
      <c r="H12" s="29">
        <f t="shared" si="2"/>
        <v>154761.08527499638</v>
      </c>
      <c r="I12" s="29">
        <f t="shared" si="2"/>
        <v>168650.89267842734</v>
      </c>
      <c r="J12" s="12"/>
    </row>
    <row r="13" spans="1:10" ht="14.65" customHeight="1">
      <c r="A13" s="9" t="s">
        <v>20</v>
      </c>
      <c r="B13" s="32">
        <v>2480</v>
      </c>
      <c r="C13" s="32">
        <v>2600</v>
      </c>
      <c r="D13" s="32">
        <v>2680</v>
      </c>
      <c r="E13" s="15">
        <f>'Supporting Schedules'!E24</f>
        <v>0</v>
      </c>
      <c r="F13" s="15">
        <f>'Supporting Schedules'!F24</f>
        <v>0</v>
      </c>
      <c r="G13" s="15">
        <f>'Supporting Schedules'!G24</f>
        <v>0</v>
      </c>
      <c r="H13" s="15">
        <f>'Supporting Schedules'!H24</f>
        <v>0</v>
      </c>
      <c r="I13" s="15">
        <f>'Supporting Schedules'!I24</f>
        <v>0</v>
      </c>
      <c r="J13" s="12"/>
    </row>
    <row r="14" spans="1:10" ht="14.65" customHeight="1">
      <c r="A14" s="18" t="s">
        <v>21</v>
      </c>
      <c r="B14" s="39">
        <f>B12-B13</f>
        <v>33821.868158501238</v>
      </c>
      <c r="C14" s="39">
        <f t="shared" ref="C14:D14" si="3">C12-C13</f>
        <v>39578.712197322267</v>
      </c>
      <c r="D14" s="39">
        <f t="shared" si="3"/>
        <v>48126.261472330982</v>
      </c>
      <c r="E14" s="39">
        <f>E12-E13</f>
        <v>119586.21863000534</v>
      </c>
      <c r="F14" s="39">
        <f t="shared" ref="F14:I14" si="4">F12-F13</f>
        <v>130319.08175204833</v>
      </c>
      <c r="G14" s="39">
        <f t="shared" si="4"/>
        <v>142015.21933929465</v>
      </c>
      <c r="H14" s="39">
        <f t="shared" si="4"/>
        <v>154761.08527499638</v>
      </c>
      <c r="I14" s="39">
        <f t="shared" si="4"/>
        <v>168650.89267842734</v>
      </c>
      <c r="J14" s="12"/>
    </row>
    <row r="15" spans="1:10" ht="14.65" customHeight="1">
      <c r="A15" s="9" t="s">
        <v>22</v>
      </c>
      <c r="B15" s="32">
        <v>6087.9362685302231</v>
      </c>
      <c r="C15" s="32">
        <v>7124.1681955180075</v>
      </c>
      <c r="D15" s="32">
        <v>8662.7270650195769</v>
      </c>
      <c r="E15" s="15">
        <f>E14*Assumptions!E13</f>
        <v>21525.519353400963</v>
      </c>
      <c r="F15" s="15">
        <f>Assumptions!F13*'Income Statement'!F14</f>
        <v>23457.434715368701</v>
      </c>
      <c r="G15" s="15">
        <f>Assumptions!G13*'Income Statement'!G14</f>
        <v>25562.73948107304</v>
      </c>
      <c r="H15" s="15">
        <f>Assumptions!H13*'Income Statement'!H14</f>
        <v>27856.995349499353</v>
      </c>
      <c r="I15" s="15">
        <f>Assumptions!I13*'Income Statement'!I14</f>
        <v>30357.160682116923</v>
      </c>
      <c r="J15" s="12"/>
    </row>
    <row r="16" spans="1:10" ht="14.65" customHeight="1" thickBot="1">
      <c r="A16" s="19" t="s">
        <v>23</v>
      </c>
      <c r="B16" s="20">
        <f>B14-B15</f>
        <v>27733.931889971016</v>
      </c>
      <c r="C16" s="20">
        <f t="shared" ref="C16:D16" si="5">C14-C15</f>
        <v>32454.544001804261</v>
      </c>
      <c r="D16" s="20">
        <f t="shared" si="5"/>
        <v>39463.534407311403</v>
      </c>
      <c r="E16" s="20">
        <f>E14-E15</f>
        <v>98060.699276604384</v>
      </c>
      <c r="F16" s="20">
        <f t="shared" ref="F16:I16" si="6">F14-F15</f>
        <v>106861.64703667963</v>
      </c>
      <c r="G16" s="20">
        <f t="shared" si="6"/>
        <v>116452.4798582216</v>
      </c>
      <c r="H16" s="20">
        <f t="shared" si="6"/>
        <v>126904.08992549703</v>
      </c>
      <c r="I16" s="20">
        <f t="shared" si="6"/>
        <v>138293.73199631041</v>
      </c>
    </row>
    <row r="17" spans="1:9" ht="14.65" customHeight="1" thickTop="1">
      <c r="A17" s="8"/>
      <c r="B17" s="32"/>
      <c r="C17" s="32"/>
      <c r="D17" s="32"/>
      <c r="E17" s="17"/>
      <c r="F17" s="17"/>
      <c r="G17" s="17"/>
      <c r="H17" s="17"/>
    </row>
    <row r="18" spans="1:9" ht="14.65" customHeight="1">
      <c r="A18" s="9" t="s">
        <v>24</v>
      </c>
      <c r="B18" s="52">
        <v>14754.451765464581</v>
      </c>
      <c r="C18" s="52">
        <v>13468.635760748768</v>
      </c>
      <c r="D18" s="52">
        <v>14996.143074778332</v>
      </c>
      <c r="E18" s="58"/>
      <c r="F18" s="58"/>
      <c r="G18" s="58"/>
      <c r="H18" s="58"/>
      <c r="I18" s="58"/>
    </row>
    <row r="19" spans="1:9" ht="14.65" customHeight="1">
      <c r="B19" s="11"/>
      <c r="C19" s="11"/>
      <c r="D19" s="11"/>
      <c r="E19" s="10"/>
      <c r="F19" s="10"/>
      <c r="G19" s="10"/>
      <c r="H19" s="10"/>
    </row>
    <row r="20" spans="1:9" ht="14.65" customHeight="1">
      <c r="E20" s="10"/>
      <c r="F20" s="10"/>
      <c r="G20" s="10"/>
      <c r="H20" s="10"/>
    </row>
    <row r="21" spans="1:9" ht="14.65" customHeight="1"/>
    <row r="22" spans="1:9" ht="14.65" customHeight="1"/>
    <row r="23" spans="1:9" ht="14.65" customHeight="1"/>
    <row r="24" spans="1:9" ht="14.65" customHeight="1"/>
    <row r="25" spans="1:9" ht="14.65" customHeight="1"/>
    <row r="26" spans="1:9" ht="14.65" customHeight="1"/>
    <row r="27" spans="1:9" ht="14.65" customHeight="1"/>
    <row r="28" spans="1:9" ht="14.65" customHeight="1"/>
    <row r="29" spans="1:9" ht="14.65" customHeight="1"/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</sheetData>
  <conditionalFormatting sqref="E2:H2">
    <cfRule type="containsText" dxfId="5" priority="3" operator="containsText" text="OK">
      <formula>NOT(ISERROR(SEARCH("OK",E2)))</formula>
    </cfRule>
    <cfRule type="containsText" dxfId="4" priority="4" operator="containsText" text="ERROR">
      <formula>NOT(ISERROR(SEARCH("ERROR",E2)))</formula>
    </cfRule>
  </conditionalFormatting>
  <pageMargins left="0.75" right="0.75" top="1" bottom="1" header="0.5" footer="0.5"/>
  <pageSetup scale="57" fitToHeight="0" orientation="landscape" blackAndWhite="1" r:id="rId1"/>
  <headerFooter alignWithMargins="0">
    <oddFooter>&amp;R&amp;6© Management Development Associates (NA) Inc. - 21317</oddFooter>
  </headerFooter>
  <ignoredErrors>
    <ignoredError sqref="E15:I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69"/>
  <sheetViews>
    <sheetView showGridLines="0" zoomScaleNormal="100" workbookViewId="0">
      <pane ySplit="3" topLeftCell="A4" activePane="bottomLeft" state="frozen"/>
      <selection activeCell="F2" sqref="F2"/>
      <selection pane="bottomLeft" activeCell="G14" sqref="G14"/>
    </sheetView>
  </sheetViews>
  <sheetFormatPr defaultColWidth="9.1796875" defaultRowHeight="14"/>
  <cols>
    <col min="1" max="1" width="42.81640625" style="9" bestFit="1" customWidth="1"/>
    <col min="2" max="8" width="13.1796875" style="9" customWidth="1"/>
    <col min="9" max="9" width="9" style="9" bestFit="1" customWidth="1"/>
    <col min="10" max="16384" width="9.1796875" style="9"/>
  </cols>
  <sheetData>
    <row r="1" spans="1:9" s="1" customFormat="1" ht="19.899999999999999" customHeight="1">
      <c r="A1" s="51" t="s">
        <v>99</v>
      </c>
      <c r="B1" s="25"/>
      <c r="C1" s="26"/>
      <c r="D1" s="26"/>
      <c r="E1" s="26"/>
      <c r="F1" s="26"/>
      <c r="G1" s="26"/>
      <c r="H1" s="26"/>
    </row>
    <row r="2" spans="1:9" s="1" customFormat="1" ht="19.899999999999999" customHeight="1">
      <c r="A2" s="25"/>
      <c r="B2" s="25"/>
      <c r="C2" s="26"/>
      <c r="D2" s="26"/>
      <c r="E2" s="26"/>
      <c r="F2" s="26"/>
      <c r="G2" s="26"/>
      <c r="H2" s="26"/>
    </row>
    <row r="3" spans="1:9" s="7" customFormat="1" ht="19.899999999999999" customHeight="1">
      <c r="A3" s="6" t="s">
        <v>6</v>
      </c>
      <c r="B3" s="28" t="s">
        <v>77</v>
      </c>
      <c r="C3" s="28" t="s">
        <v>78</v>
      </c>
      <c r="D3" s="28" t="s">
        <v>79</v>
      </c>
      <c r="E3" s="27" t="s">
        <v>73</v>
      </c>
      <c r="F3" s="27" t="s">
        <v>74</v>
      </c>
      <c r="G3" s="27" t="s">
        <v>75</v>
      </c>
      <c r="H3" s="27" t="s">
        <v>76</v>
      </c>
      <c r="I3" s="27" t="s">
        <v>80</v>
      </c>
    </row>
    <row r="4" spans="1:9" ht="14.65" customHeight="1">
      <c r="A4" s="50"/>
      <c r="B4" s="48" t="s">
        <v>92</v>
      </c>
      <c r="C4" s="48" t="s">
        <v>93</v>
      </c>
      <c r="D4" s="48" t="s">
        <v>94</v>
      </c>
      <c r="E4" s="49" t="s">
        <v>80</v>
      </c>
      <c r="F4" s="49" t="s">
        <v>95</v>
      </c>
      <c r="G4" s="49" t="s">
        <v>96</v>
      </c>
      <c r="H4" s="49" t="s">
        <v>97</v>
      </c>
      <c r="I4" s="49" t="s">
        <v>98</v>
      </c>
    </row>
    <row r="5" spans="1:9" ht="14.65" customHeight="1">
      <c r="A5" s="41" t="s">
        <v>25</v>
      </c>
      <c r="B5" s="42"/>
      <c r="C5" s="42"/>
      <c r="D5" s="42"/>
      <c r="E5" s="31"/>
      <c r="F5" s="31"/>
      <c r="G5" s="31"/>
      <c r="H5" s="31"/>
      <c r="I5" s="37"/>
    </row>
    <row r="6" spans="1:9" ht="14.65" customHeight="1">
      <c r="A6" s="41" t="s">
        <v>26</v>
      </c>
      <c r="B6" s="42"/>
      <c r="C6" s="42"/>
      <c r="D6" s="42"/>
      <c r="E6" s="31"/>
      <c r="F6" s="31"/>
      <c r="G6" s="31"/>
      <c r="H6" s="31"/>
      <c r="I6" s="37"/>
    </row>
    <row r="7" spans="1:9" ht="14.65" customHeight="1">
      <c r="A7" s="37" t="s">
        <v>27</v>
      </c>
      <c r="B7" s="43">
        <v>69034.824197138892</v>
      </c>
      <c r="C7" s="43">
        <v>83002.918438108245</v>
      </c>
      <c r="D7" s="43">
        <v>104216.26801854371</v>
      </c>
      <c r="E7" s="31">
        <f>'Cash Flow Statement'!E27</f>
        <v>202276.96729514809</v>
      </c>
      <c r="F7" s="31">
        <f>'Cash Flow Statement'!F27</f>
        <v>309138.61433182773</v>
      </c>
      <c r="G7" s="31">
        <f>'Cash Flow Statement'!G27</f>
        <v>425591.09419004933</v>
      </c>
      <c r="H7" s="31">
        <f>'Cash Flow Statement'!H27</f>
        <v>552495.18411554641</v>
      </c>
      <c r="I7" s="31">
        <f>'Cash Flow Statement'!I27</f>
        <v>690788.91611185682</v>
      </c>
    </row>
    <row r="8" spans="1:9" ht="14.65" customHeight="1">
      <c r="A8" s="37" t="s">
        <v>28</v>
      </c>
      <c r="B8" s="43">
        <v>26517.377426979838</v>
      </c>
      <c r="C8" s="43">
        <v>29698.473263835811</v>
      </c>
      <c r="D8" s="43">
        <v>31960.722183759306</v>
      </c>
      <c r="E8" s="58"/>
      <c r="F8" s="58"/>
      <c r="G8" s="58"/>
      <c r="H8" s="58"/>
      <c r="I8" s="58"/>
    </row>
    <row r="9" spans="1:9" ht="14.65" customHeight="1">
      <c r="A9" s="37" t="s">
        <v>29</v>
      </c>
      <c r="B9" s="43">
        <v>6926.1806712260759</v>
      </c>
      <c r="C9" s="43">
        <v>7811.9897063568105</v>
      </c>
      <c r="D9" s="43">
        <v>8422.5903166612734</v>
      </c>
      <c r="E9" s="61"/>
      <c r="F9" s="61"/>
      <c r="G9" s="61"/>
      <c r="H9" s="61"/>
      <c r="I9" s="61"/>
    </row>
    <row r="10" spans="1:9" ht="14.65" customHeight="1">
      <c r="A10" s="44" t="s">
        <v>30</v>
      </c>
      <c r="B10" s="40">
        <f t="shared" ref="B10:D10" si="0">SUM(B7:B9)</f>
        <v>102478.3822953448</v>
      </c>
      <c r="C10" s="40">
        <f t="shared" si="0"/>
        <v>120513.38140830086</v>
      </c>
      <c r="D10" s="40">
        <f t="shared" si="0"/>
        <v>144599.5805189643</v>
      </c>
      <c r="E10" s="40">
        <f t="shared" ref="E10" si="1">SUM(E7:E9)</f>
        <v>202276.96729514809</v>
      </c>
      <c r="F10" s="40">
        <f t="shared" ref="F10" si="2">SUM(F7:F9)</f>
        <v>309138.61433182773</v>
      </c>
      <c r="G10" s="40">
        <f t="shared" ref="G10" si="3">SUM(G7:G9)</f>
        <v>425591.09419004933</v>
      </c>
      <c r="H10" s="40">
        <f t="shared" ref="H10" si="4">SUM(H7:H9)</f>
        <v>552495.18411554641</v>
      </c>
      <c r="I10" s="40">
        <f t="shared" ref="I10" si="5">SUM(I7:I9)</f>
        <v>690788.91611185682</v>
      </c>
    </row>
    <row r="11" spans="1:9" ht="14.65" customHeight="1">
      <c r="A11" s="41" t="s">
        <v>31</v>
      </c>
      <c r="B11" s="43"/>
      <c r="C11" s="43"/>
      <c r="D11" s="43"/>
      <c r="E11" s="31"/>
      <c r="F11" s="31"/>
      <c r="G11" s="31"/>
      <c r="H11" s="31"/>
      <c r="I11" s="37"/>
    </row>
    <row r="12" spans="1:9" ht="14.65" customHeight="1">
      <c r="A12" s="37" t="s">
        <v>32</v>
      </c>
      <c r="B12" s="43">
        <v>24076.723285690648</v>
      </c>
      <c r="C12" s="43">
        <v>25338.809586956686</v>
      </c>
      <c r="D12" s="43">
        <v>26392.904065774088</v>
      </c>
      <c r="E12" s="31">
        <f>'Supporting Schedules'!E10</f>
        <v>0</v>
      </c>
      <c r="F12" s="31">
        <f>'Supporting Schedules'!F10</f>
        <v>0</v>
      </c>
      <c r="G12" s="31">
        <f>'Supporting Schedules'!G10</f>
        <v>0</v>
      </c>
      <c r="H12" s="31">
        <f>'Supporting Schedules'!H10</f>
        <v>0</v>
      </c>
      <c r="I12" s="31">
        <f>'Supporting Schedules'!I10</f>
        <v>0</v>
      </c>
    </row>
    <row r="13" spans="1:9" ht="14.65" customHeight="1" thickBot="1">
      <c r="A13" s="45" t="s">
        <v>33</v>
      </c>
      <c r="B13" s="40">
        <f>B10+B12</f>
        <v>126555.10558103544</v>
      </c>
      <c r="C13" s="40">
        <f t="shared" ref="C13:E13" si="6">C10+C12</f>
        <v>145852.19099525755</v>
      </c>
      <c r="D13" s="40">
        <f t="shared" si="6"/>
        <v>170992.48458473838</v>
      </c>
      <c r="E13" s="40">
        <f t="shared" si="6"/>
        <v>202276.96729514809</v>
      </c>
      <c r="F13" s="40">
        <f t="shared" ref="F13" si="7">F10+F12</f>
        <v>309138.61433182773</v>
      </c>
      <c r="G13" s="40">
        <f t="shared" ref="G13:H13" si="8">G10+G12</f>
        <v>425591.09419004933</v>
      </c>
      <c r="H13" s="40">
        <f t="shared" si="8"/>
        <v>552495.18411554641</v>
      </c>
      <c r="I13" s="40">
        <f t="shared" ref="I13" si="9">I10+I12</f>
        <v>690788.91611185682</v>
      </c>
    </row>
    <row r="14" spans="1:9" ht="14.65" customHeight="1">
      <c r="A14" s="37"/>
      <c r="B14" s="43"/>
      <c r="C14" s="43"/>
      <c r="D14" s="43"/>
      <c r="E14" s="31"/>
      <c r="F14" s="31"/>
      <c r="G14" s="31"/>
      <c r="H14" s="31"/>
      <c r="I14" s="37"/>
    </row>
    <row r="15" spans="1:9" ht="14.65" customHeight="1">
      <c r="A15" s="41" t="s">
        <v>34</v>
      </c>
      <c r="B15" s="43"/>
      <c r="C15" s="43"/>
      <c r="D15" s="43"/>
      <c r="E15" s="31"/>
      <c r="F15" s="31"/>
      <c r="G15" s="31"/>
      <c r="H15" s="31"/>
      <c r="I15" s="37"/>
    </row>
    <row r="16" spans="1:9" ht="14.65" customHeight="1">
      <c r="A16" s="41" t="s">
        <v>35</v>
      </c>
      <c r="B16" s="43"/>
      <c r="C16" s="43"/>
      <c r="D16" s="43"/>
      <c r="E16" s="31"/>
      <c r="F16" s="31"/>
      <c r="G16" s="31"/>
      <c r="H16" s="31"/>
      <c r="I16" s="37"/>
    </row>
    <row r="17" spans="1:9" ht="14.65" customHeight="1">
      <c r="A17" s="37" t="s">
        <v>36</v>
      </c>
      <c r="B17" s="43">
        <v>10389.271006839115</v>
      </c>
      <c r="C17" s="43">
        <v>10794.74941242032</v>
      </c>
      <c r="D17" s="43">
        <v>11430.658286897444</v>
      </c>
      <c r="E17" s="58"/>
      <c r="F17" s="58"/>
      <c r="G17" s="58"/>
      <c r="H17" s="58"/>
      <c r="I17" s="58"/>
    </row>
    <row r="18" spans="1:9" ht="14.65" customHeight="1">
      <c r="A18" s="37" t="s">
        <v>37</v>
      </c>
      <c r="B18" s="43">
        <v>1789.8532629478855</v>
      </c>
      <c r="C18" s="43">
        <v>1695.5520305332857</v>
      </c>
      <c r="D18" s="43">
        <v>1732.5454130039154</v>
      </c>
      <c r="E18" s="31">
        <f>Assumptions!E20*'Income Statement'!E15</f>
        <v>5252.2267222298351</v>
      </c>
      <c r="F18" s="31">
        <f>Assumptions!F20*'Income Statement'!F15</f>
        <v>5723.6140705499629</v>
      </c>
      <c r="G18" s="31">
        <f>Assumptions!G20*'Income Statement'!G15</f>
        <v>6237.3084333818215</v>
      </c>
      <c r="H18" s="31">
        <f>Assumptions!H20*'Income Statement'!H15</f>
        <v>6797.1068652778422</v>
      </c>
      <c r="I18" s="31">
        <f>Assumptions!I20*'Income Statement'!I15</f>
        <v>7407.1472064365289</v>
      </c>
    </row>
    <row r="19" spans="1:9" ht="14.65" customHeight="1">
      <c r="A19" s="44" t="s">
        <v>38</v>
      </c>
      <c r="B19" s="40">
        <f t="shared" ref="B19:I19" si="10">SUM(B17:B18)</f>
        <v>12179.124269787</v>
      </c>
      <c r="C19" s="40">
        <f t="shared" si="10"/>
        <v>12490.301442953605</v>
      </c>
      <c r="D19" s="40">
        <f t="shared" si="10"/>
        <v>13163.20369990136</v>
      </c>
      <c r="E19" s="40">
        <f t="shared" si="10"/>
        <v>5252.2267222298351</v>
      </c>
      <c r="F19" s="40">
        <f t="shared" si="10"/>
        <v>5723.6140705499629</v>
      </c>
      <c r="G19" s="40">
        <f t="shared" si="10"/>
        <v>6237.3084333818215</v>
      </c>
      <c r="H19" s="40">
        <f t="shared" si="10"/>
        <v>6797.1068652778422</v>
      </c>
      <c r="I19" s="40">
        <f t="shared" si="10"/>
        <v>7407.1472064365289</v>
      </c>
    </row>
    <row r="20" spans="1:9" ht="14.65" customHeight="1">
      <c r="A20" s="41" t="s">
        <v>39</v>
      </c>
      <c r="B20" s="43"/>
      <c r="C20" s="43"/>
      <c r="D20" s="43"/>
      <c r="E20" s="31"/>
      <c r="F20" s="31"/>
      <c r="G20" s="31"/>
      <c r="H20" s="31"/>
      <c r="I20" s="37"/>
    </row>
    <row r="21" spans="1:9" ht="14.65" customHeight="1">
      <c r="A21" s="37" t="s">
        <v>40</v>
      </c>
      <c r="B21" s="43">
        <v>40000</v>
      </c>
      <c r="C21" s="43">
        <v>40000</v>
      </c>
      <c r="D21" s="43">
        <v>40000</v>
      </c>
      <c r="E21" s="31">
        <f>'Supporting Schedules'!E21</f>
        <v>0</v>
      </c>
      <c r="F21" s="31">
        <f>'Supporting Schedules'!F21</f>
        <v>0</v>
      </c>
      <c r="G21" s="31">
        <f>'Supporting Schedules'!G21</f>
        <v>0</v>
      </c>
      <c r="H21" s="31">
        <f>'Supporting Schedules'!H21</f>
        <v>0</v>
      </c>
      <c r="I21" s="31">
        <f>'Supporting Schedules'!I21</f>
        <v>0</v>
      </c>
    </row>
    <row r="22" spans="1:9" ht="14.65" customHeight="1">
      <c r="A22" s="41" t="s">
        <v>41</v>
      </c>
      <c r="B22" s="43"/>
      <c r="C22" s="43"/>
      <c r="D22" s="43"/>
      <c r="E22" s="31"/>
      <c r="F22" s="31"/>
      <c r="G22" s="31"/>
      <c r="H22" s="31"/>
      <c r="I22" s="37"/>
    </row>
    <row r="23" spans="1:9" ht="14.65" customHeight="1">
      <c r="A23" s="37" t="s">
        <v>81</v>
      </c>
      <c r="B23" s="43">
        <v>9234</v>
      </c>
      <c r="C23" s="43">
        <v>9234</v>
      </c>
      <c r="D23" s="43">
        <v>9234</v>
      </c>
      <c r="E23" s="31">
        <f>Assumptions!E22</f>
        <v>9234</v>
      </c>
      <c r="F23" s="31">
        <f>Assumptions!F22</f>
        <v>9234</v>
      </c>
      <c r="G23" s="31">
        <f>Assumptions!G22</f>
        <v>9234</v>
      </c>
      <c r="H23" s="31">
        <f>Assumptions!H22</f>
        <v>9234</v>
      </c>
      <c r="I23" s="31">
        <f>Assumptions!I22</f>
        <v>9234</v>
      </c>
    </row>
    <row r="24" spans="1:9" ht="14.65" customHeight="1">
      <c r="A24" s="37" t="s">
        <v>42</v>
      </c>
      <c r="B24" s="43">
        <v>65141.981311248433</v>
      </c>
      <c r="C24" s="43">
        <v>84127.889552303925</v>
      </c>
      <c r="D24" s="43">
        <v>108595.28088483699</v>
      </c>
      <c r="E24" s="31">
        <f>'Supporting Schedules'!E16</f>
        <v>0</v>
      </c>
      <c r="F24" s="31">
        <f>'Supporting Schedules'!F16</f>
        <v>0</v>
      </c>
      <c r="G24" s="31">
        <f>'Supporting Schedules'!G16</f>
        <v>0</v>
      </c>
      <c r="H24" s="31">
        <f>'Supporting Schedules'!H16</f>
        <v>0</v>
      </c>
      <c r="I24" s="31">
        <f>'Supporting Schedules'!I16</f>
        <v>0</v>
      </c>
    </row>
    <row r="25" spans="1:9" ht="14.65" customHeight="1">
      <c r="A25" s="44" t="s">
        <v>43</v>
      </c>
      <c r="B25" s="40">
        <f t="shared" ref="B25:I25" si="11">SUM(B23:B24)</f>
        <v>74375.981311248441</v>
      </c>
      <c r="C25" s="40">
        <f t="shared" si="11"/>
        <v>93361.889552303925</v>
      </c>
      <c r="D25" s="40">
        <f t="shared" si="11"/>
        <v>117829.28088483699</v>
      </c>
      <c r="E25" s="40">
        <f t="shared" si="11"/>
        <v>9234</v>
      </c>
      <c r="F25" s="40">
        <f t="shared" si="11"/>
        <v>9234</v>
      </c>
      <c r="G25" s="40">
        <f t="shared" si="11"/>
        <v>9234</v>
      </c>
      <c r="H25" s="40">
        <f t="shared" si="11"/>
        <v>9234</v>
      </c>
      <c r="I25" s="40">
        <f t="shared" si="11"/>
        <v>9234</v>
      </c>
    </row>
    <row r="26" spans="1:9" ht="14.65" customHeight="1" thickBot="1">
      <c r="A26" s="45" t="s">
        <v>44</v>
      </c>
      <c r="B26" s="40">
        <f t="shared" ref="B26:I26" si="12">B25+B19+B21</f>
        <v>126555.10558103544</v>
      </c>
      <c r="C26" s="40">
        <f t="shared" si="12"/>
        <v>145852.19099525752</v>
      </c>
      <c r="D26" s="40">
        <f t="shared" si="12"/>
        <v>170992.48458473835</v>
      </c>
      <c r="E26" s="40">
        <f t="shared" si="12"/>
        <v>14486.226722229836</v>
      </c>
      <c r="F26" s="40">
        <f t="shared" si="12"/>
        <v>14957.614070549964</v>
      </c>
      <c r="G26" s="40">
        <f t="shared" si="12"/>
        <v>15471.308433381822</v>
      </c>
      <c r="H26" s="40">
        <f t="shared" si="12"/>
        <v>16031.106865277841</v>
      </c>
      <c r="I26" s="40">
        <f t="shared" si="12"/>
        <v>16641.14720643653</v>
      </c>
    </row>
    <row r="27" spans="1:9" ht="14.65" customHeight="1">
      <c r="A27" s="37"/>
      <c r="B27" s="46"/>
      <c r="C27" s="46"/>
      <c r="D27" s="46"/>
      <c r="E27" s="31"/>
      <c r="F27" s="31"/>
      <c r="G27" s="31"/>
      <c r="H27" s="31"/>
      <c r="I27" s="37"/>
    </row>
    <row r="28" spans="1:9" ht="14.65" customHeight="1">
      <c r="A28" s="37"/>
      <c r="B28" s="31" t="str">
        <f>IF(ABS(B13-B26)&gt;1,"Not Correct","Correct")</f>
        <v>Correct</v>
      </c>
      <c r="C28" s="31" t="str">
        <f t="shared" ref="C28:D28" si="13">IF(ABS(C13-C26)&gt;1,"Not Correct","Correct")</f>
        <v>Correct</v>
      </c>
      <c r="D28" s="31" t="str">
        <f t="shared" si="13"/>
        <v>Correct</v>
      </c>
      <c r="E28" s="31" t="str">
        <f>IF(ABS(E13-E26)&gt;1,"Not Correct","Correct")</f>
        <v>Not Correct</v>
      </c>
      <c r="F28" s="31" t="str">
        <f t="shared" ref="F28:I28" si="14">IF(ABS(F13-F26)&gt;1,"Not Correct","Correct")</f>
        <v>Not Correct</v>
      </c>
      <c r="G28" s="31" t="str">
        <f t="shared" si="14"/>
        <v>Not Correct</v>
      </c>
      <c r="H28" s="31" t="str">
        <f t="shared" si="14"/>
        <v>Not Correct</v>
      </c>
      <c r="I28" s="31" t="str">
        <f t="shared" si="14"/>
        <v>Not Correct</v>
      </c>
    </row>
    <row r="29" spans="1:9" ht="14.65" customHeight="1">
      <c r="E29" s="10"/>
      <c r="F29" s="10"/>
      <c r="G29" s="10"/>
      <c r="H29" s="10"/>
    </row>
    <row r="30" spans="1:9" ht="14.65" customHeight="1"/>
    <row r="31" spans="1:9" ht="34.15" customHeight="1">
      <c r="B31" s="30"/>
    </row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</sheetData>
  <pageMargins left="0.75" right="0.75" top="1" bottom="1" header="0.5" footer="0.5"/>
  <pageSetup scale="57" fitToHeight="0" orientation="landscape" blackAndWhite="1" r:id="rId1"/>
  <headerFooter alignWithMargins="0">
    <oddFooter>&amp;R&amp;6© Management Development Associates (NA) Inc. - 21317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70"/>
  <sheetViews>
    <sheetView showGridLines="0" zoomScaleNormal="100" workbookViewId="0">
      <pane ySplit="3" topLeftCell="A12" activePane="bottomLeft" state="frozen"/>
      <selection activeCell="F2" sqref="F2"/>
      <selection pane="bottomLeft" activeCell="D19" sqref="D19"/>
    </sheetView>
  </sheetViews>
  <sheetFormatPr defaultColWidth="9.1796875" defaultRowHeight="14"/>
  <cols>
    <col min="1" max="1" width="41.26953125" style="9" customWidth="1"/>
    <col min="2" max="8" width="13.1796875" style="9" customWidth="1"/>
    <col min="9" max="9" width="10.81640625" style="9" customWidth="1"/>
    <col min="10" max="16384" width="9.1796875" style="9"/>
  </cols>
  <sheetData>
    <row r="1" spans="1:9" s="1" customFormat="1" ht="19.899999999999999" customHeight="1">
      <c r="A1" s="51" t="s">
        <v>99</v>
      </c>
      <c r="B1" s="25"/>
      <c r="C1" s="26"/>
      <c r="D1" s="26"/>
      <c r="E1" s="26"/>
      <c r="F1" s="26"/>
      <c r="G1" s="26"/>
      <c r="H1" s="26"/>
    </row>
    <row r="2" spans="1:9" s="3" customFormat="1" ht="14.65" customHeight="1">
      <c r="A2" s="2"/>
      <c r="B2" s="2"/>
      <c r="C2" s="4"/>
      <c r="D2" s="4"/>
      <c r="E2" s="5"/>
      <c r="F2" s="5"/>
      <c r="G2" s="5"/>
      <c r="H2" s="5"/>
    </row>
    <row r="3" spans="1:9" s="7" customFormat="1" ht="19.899999999999999" customHeight="1">
      <c r="A3" s="47" t="s">
        <v>45</v>
      </c>
      <c r="B3" s="48" t="s">
        <v>92</v>
      </c>
      <c r="C3" s="48" t="s">
        <v>93</v>
      </c>
      <c r="D3" s="48" t="s">
        <v>94</v>
      </c>
      <c r="E3" s="49" t="s">
        <v>80</v>
      </c>
      <c r="F3" s="49" t="s">
        <v>95</v>
      </c>
      <c r="G3" s="49" t="s">
        <v>96</v>
      </c>
      <c r="H3" s="49" t="s">
        <v>97</v>
      </c>
      <c r="I3" s="49" t="s">
        <v>98</v>
      </c>
    </row>
    <row r="4" spans="1:9" ht="14.65" customHeight="1">
      <c r="A4" s="8"/>
      <c r="B4" s="10"/>
      <c r="C4" s="10"/>
      <c r="D4" s="10"/>
      <c r="E4" s="10"/>
      <c r="F4" s="10"/>
      <c r="G4" s="10"/>
      <c r="H4" s="10"/>
    </row>
    <row r="5" spans="1:9" ht="14.65" customHeight="1">
      <c r="A5" s="8" t="s">
        <v>46</v>
      </c>
      <c r="B5" s="32"/>
      <c r="C5" s="32"/>
      <c r="D5" s="32"/>
      <c r="E5" s="21"/>
      <c r="F5" s="21"/>
      <c r="G5" s="21"/>
      <c r="H5" s="21"/>
    </row>
    <row r="6" spans="1:9" ht="14.65" customHeight="1">
      <c r="A6" s="9" t="s">
        <v>23</v>
      </c>
      <c r="B6" s="32">
        <v>27733.931889971016</v>
      </c>
      <c r="C6" s="32">
        <v>32454.544001804261</v>
      </c>
      <c r="D6" s="32">
        <v>39463.534407311403</v>
      </c>
      <c r="E6" s="10">
        <f>'Income Statement'!E16</f>
        <v>98060.699276604384</v>
      </c>
      <c r="F6" s="10">
        <f>'Income Statement'!F16</f>
        <v>106861.64703667963</v>
      </c>
      <c r="G6" s="10">
        <f>'Income Statement'!G16</f>
        <v>116452.4798582216</v>
      </c>
      <c r="H6" s="10">
        <f>'Income Statement'!H16</f>
        <v>126904.08992549703</v>
      </c>
      <c r="I6" s="10">
        <f>'Income Statement'!I16</f>
        <v>138293.73199631041</v>
      </c>
    </row>
    <row r="7" spans="1:9" ht="14.65" customHeight="1">
      <c r="A7" s="9" t="s">
        <v>18</v>
      </c>
      <c r="B7" s="32">
        <v>8378.6997034203469</v>
      </c>
      <c r="C7" s="32">
        <v>9426.0371663478873</v>
      </c>
      <c r="D7" s="32">
        <v>10807.894214934489</v>
      </c>
      <c r="E7" s="10">
        <f>'Supporting Schedules'!E9</f>
        <v>0</v>
      </c>
      <c r="F7" s="10">
        <f>'Supporting Schedules'!F9</f>
        <v>0</v>
      </c>
      <c r="G7" s="10">
        <f>'Supporting Schedules'!G9</f>
        <v>0</v>
      </c>
      <c r="H7" s="10">
        <f>'Supporting Schedules'!H9</f>
        <v>0</v>
      </c>
      <c r="I7" s="10">
        <f>'Supporting Schedules'!I9</f>
        <v>0</v>
      </c>
    </row>
    <row r="8" spans="1:9" ht="14.65" customHeight="1">
      <c r="A8" s="9" t="s">
        <v>47</v>
      </c>
      <c r="B8" s="32"/>
      <c r="C8" s="32"/>
      <c r="D8" s="32"/>
      <c r="E8" s="10"/>
      <c r="F8" s="10"/>
      <c r="G8" s="10"/>
      <c r="H8" s="10"/>
    </row>
    <row r="9" spans="1:9" ht="14.65" customHeight="1">
      <c r="A9" s="22" t="s">
        <v>28</v>
      </c>
      <c r="B9" s="32">
        <v>-1597.7855939971305</v>
      </c>
      <c r="C9" s="32">
        <v>-3181.0958368559732</v>
      </c>
      <c r="D9" s="32">
        <v>-2262.2489199234951</v>
      </c>
      <c r="E9" s="58"/>
      <c r="F9" s="58"/>
      <c r="G9" s="58"/>
      <c r="H9" s="58"/>
      <c r="I9" s="58"/>
    </row>
    <row r="10" spans="1:9" ht="14.65" customHeight="1">
      <c r="A10" s="22" t="s">
        <v>29</v>
      </c>
      <c r="B10" s="32">
        <v>51.305042009081262</v>
      </c>
      <c r="C10" s="32">
        <v>-885.80903513073463</v>
      </c>
      <c r="D10" s="32">
        <v>-610.60061030446286</v>
      </c>
      <c r="E10" s="58"/>
      <c r="F10" s="58"/>
      <c r="G10" s="58"/>
      <c r="H10" s="58"/>
      <c r="I10" s="58"/>
    </row>
    <row r="11" spans="1:9" ht="14.65" customHeight="1">
      <c r="A11" s="22" t="s">
        <v>36</v>
      </c>
      <c r="B11" s="32">
        <v>919.8261103056866</v>
      </c>
      <c r="C11" s="32">
        <v>405.47840558120515</v>
      </c>
      <c r="D11" s="32">
        <v>635.90887447712339</v>
      </c>
      <c r="E11" s="58"/>
      <c r="F11" s="58"/>
      <c r="G11" s="58"/>
      <c r="H11" s="58"/>
      <c r="I11" s="58"/>
    </row>
    <row r="12" spans="1:9" ht="14.65" customHeight="1">
      <c r="A12" s="22" t="s">
        <v>37</v>
      </c>
      <c r="B12" s="32">
        <v>747.76255266478665</v>
      </c>
      <c r="C12" s="32">
        <v>-94.301232414599781</v>
      </c>
      <c r="D12" s="32">
        <v>36.99338247062974</v>
      </c>
      <c r="E12" s="58"/>
      <c r="F12" s="58"/>
      <c r="G12" s="58"/>
      <c r="H12" s="58"/>
      <c r="I12" s="58"/>
    </row>
    <row r="13" spans="1:9" ht="14.65" customHeight="1">
      <c r="A13" s="18" t="s">
        <v>48</v>
      </c>
      <c r="B13" s="29">
        <f t="shared" ref="B13:D13" si="0">SUM(B6:B12)</f>
        <v>36233.739704373795</v>
      </c>
      <c r="C13" s="29">
        <f t="shared" si="0"/>
        <v>38124.853469332047</v>
      </c>
      <c r="D13" s="29">
        <f t="shared" si="0"/>
        <v>48071.481348965681</v>
      </c>
      <c r="E13" s="29">
        <f t="shared" ref="E13" si="1">SUM(E6:E12)</f>
        <v>98060.699276604384</v>
      </c>
      <c r="F13" s="29">
        <f t="shared" ref="F13" si="2">SUM(F6:F12)</f>
        <v>106861.64703667963</v>
      </c>
      <c r="G13" s="29">
        <f t="shared" ref="G13" si="3">SUM(G6:G12)</f>
        <v>116452.4798582216</v>
      </c>
      <c r="H13" s="29">
        <f t="shared" ref="H13" si="4">SUM(H6:H12)</f>
        <v>126904.08992549703</v>
      </c>
      <c r="I13" s="29">
        <f t="shared" ref="I13" si="5">SUM(I6:I12)</f>
        <v>138293.73199631041</v>
      </c>
    </row>
    <row r="14" spans="1:9" ht="14.65" customHeight="1">
      <c r="A14" s="9" t="s">
        <v>49</v>
      </c>
      <c r="B14" s="32"/>
      <c r="C14" s="32"/>
      <c r="D14" s="32"/>
      <c r="E14" s="10"/>
      <c r="F14" s="10"/>
      <c r="G14" s="10"/>
      <c r="H14" s="10"/>
    </row>
    <row r="15" spans="1:9" ht="14.65" customHeight="1">
      <c r="A15" s="8" t="s">
        <v>50</v>
      </c>
      <c r="B15" s="32"/>
      <c r="C15" s="32"/>
      <c r="D15" s="32"/>
      <c r="E15" s="10"/>
      <c r="F15" s="10"/>
      <c r="G15" s="10"/>
      <c r="H15" s="10"/>
    </row>
    <row r="16" spans="1:9" ht="14.65" customHeight="1">
      <c r="A16" s="9" t="s">
        <v>51</v>
      </c>
      <c r="B16" s="32">
        <v>-10881.298181144462</v>
      </c>
      <c r="C16" s="32">
        <v>-10688.123467613928</v>
      </c>
      <c r="D16" s="32">
        <v>-11861.988693751893</v>
      </c>
      <c r="E16" s="58"/>
      <c r="F16" s="58"/>
      <c r="G16" s="58"/>
      <c r="H16" s="58"/>
      <c r="I16" s="58"/>
    </row>
    <row r="17" spans="1:9" ht="14.65" customHeight="1">
      <c r="A17" s="18" t="s">
        <v>52</v>
      </c>
      <c r="B17" s="29">
        <f t="shared" ref="B17:D17" si="6">SUM(B16)</f>
        <v>-10881.298181144462</v>
      </c>
      <c r="C17" s="29">
        <f t="shared" si="6"/>
        <v>-10688.123467613928</v>
      </c>
      <c r="D17" s="29">
        <f t="shared" si="6"/>
        <v>-11861.988693751893</v>
      </c>
      <c r="E17" s="29">
        <f t="shared" ref="E17" si="7">SUM(E16)</f>
        <v>0</v>
      </c>
      <c r="F17" s="29">
        <f t="shared" ref="F17" si="8">SUM(F16)</f>
        <v>0</v>
      </c>
      <c r="G17" s="29">
        <f t="shared" ref="G17" si="9">SUM(G16)</f>
        <v>0</v>
      </c>
      <c r="H17" s="29">
        <f t="shared" ref="H17" si="10">SUM(H16)</f>
        <v>0</v>
      </c>
      <c r="I17" s="29">
        <f t="shared" ref="I17" si="11">SUM(I16)</f>
        <v>0</v>
      </c>
    </row>
    <row r="18" spans="1:9" ht="14.65" customHeight="1">
      <c r="A18" s="9" t="s">
        <v>49</v>
      </c>
      <c r="B18" s="32"/>
      <c r="C18" s="32"/>
      <c r="D18" s="32"/>
      <c r="E18" s="10"/>
      <c r="F18" s="10"/>
      <c r="G18" s="10"/>
      <c r="H18" s="10"/>
    </row>
    <row r="19" spans="1:9" ht="14.65" customHeight="1">
      <c r="A19" s="8" t="s">
        <v>53</v>
      </c>
      <c r="B19" s="32"/>
      <c r="C19" s="32"/>
      <c r="D19" s="32"/>
      <c r="E19" s="10"/>
      <c r="F19" s="10"/>
      <c r="G19" s="10"/>
      <c r="H19" s="10"/>
    </row>
    <row r="20" spans="1:9" ht="14.65" customHeight="1">
      <c r="A20" s="9" t="s">
        <v>54</v>
      </c>
      <c r="B20" s="32">
        <v>0</v>
      </c>
      <c r="C20" s="32">
        <v>0</v>
      </c>
      <c r="D20" s="32">
        <v>0</v>
      </c>
      <c r="E20" s="10">
        <f>'Balance Sheet'!E23-'Balance Sheet'!D23</f>
        <v>0</v>
      </c>
      <c r="F20" s="10">
        <f>'Balance Sheet'!F23-'Balance Sheet'!E23</f>
        <v>0</v>
      </c>
      <c r="G20" s="10">
        <f>'Balance Sheet'!G23-'Balance Sheet'!F23</f>
        <v>0</v>
      </c>
      <c r="H20" s="10">
        <f>'Balance Sheet'!H23-'Balance Sheet'!G23</f>
        <v>0</v>
      </c>
      <c r="I20" s="10">
        <f>'Balance Sheet'!I23-'Balance Sheet'!H23</f>
        <v>0</v>
      </c>
    </row>
    <row r="21" spans="1:9" ht="14.65" customHeight="1">
      <c r="A21" s="9" t="s">
        <v>55</v>
      </c>
      <c r="B21" s="32">
        <v>-14754.451765464581</v>
      </c>
      <c r="C21" s="32">
        <v>-13468.635760748768</v>
      </c>
      <c r="D21" s="32">
        <v>-14996.143074778332</v>
      </c>
      <c r="E21" s="10">
        <f>-'Income Statement'!E18</f>
        <v>0</v>
      </c>
      <c r="F21" s="10">
        <f>-'Income Statement'!F18</f>
        <v>0</v>
      </c>
      <c r="G21" s="10">
        <f>-'Income Statement'!G18</f>
        <v>0</v>
      </c>
      <c r="H21" s="10">
        <f>-'Income Statement'!H18</f>
        <v>0</v>
      </c>
      <c r="I21" s="10">
        <f>-'Income Statement'!I18</f>
        <v>0</v>
      </c>
    </row>
    <row r="22" spans="1:9" ht="14.65" customHeight="1">
      <c r="A22" s="9" t="s">
        <v>56</v>
      </c>
      <c r="B22" s="32">
        <v>0</v>
      </c>
      <c r="C22" s="32">
        <v>0</v>
      </c>
      <c r="D22" s="32">
        <v>0</v>
      </c>
      <c r="E22" s="10">
        <f>'Supporting Schedules'!E20</f>
        <v>0</v>
      </c>
      <c r="F22" s="10">
        <f>'Supporting Schedules'!F20</f>
        <v>0</v>
      </c>
      <c r="G22" s="10">
        <f>'Supporting Schedules'!G20</f>
        <v>0</v>
      </c>
      <c r="H22" s="10">
        <f>'Supporting Schedules'!H20</f>
        <v>0</v>
      </c>
      <c r="I22" s="10">
        <f>'Supporting Schedules'!I20</f>
        <v>0</v>
      </c>
    </row>
    <row r="23" spans="1:9" ht="14.65" customHeight="1">
      <c r="A23" s="18" t="s">
        <v>57</v>
      </c>
      <c r="B23" s="29">
        <f t="shared" ref="B23:D23" si="12">SUM(B20:B22)</f>
        <v>-14754.451765464581</v>
      </c>
      <c r="C23" s="29">
        <f t="shared" si="12"/>
        <v>-13468.635760748768</v>
      </c>
      <c r="D23" s="29">
        <f t="shared" si="12"/>
        <v>-14996.143074778332</v>
      </c>
      <c r="E23" s="29">
        <f t="shared" ref="E23" si="13">SUM(E20:E22)</f>
        <v>0</v>
      </c>
      <c r="F23" s="29">
        <f t="shared" ref="F23" si="14">SUM(F20:F22)</f>
        <v>0</v>
      </c>
      <c r="G23" s="29">
        <f t="shared" ref="G23" si="15">SUM(G20:G22)</f>
        <v>0</v>
      </c>
      <c r="H23" s="29">
        <f t="shared" ref="H23" si="16">SUM(H20:H22)</f>
        <v>0</v>
      </c>
      <c r="I23" s="29">
        <f t="shared" ref="I23" si="17">SUM(I20:I22)</f>
        <v>0</v>
      </c>
    </row>
    <row r="24" spans="1:9" ht="14.65" customHeight="1">
      <c r="A24" s="9" t="s">
        <v>49</v>
      </c>
      <c r="B24" s="32"/>
      <c r="C24" s="32"/>
      <c r="D24" s="32"/>
      <c r="E24" s="10"/>
      <c r="F24" s="10"/>
      <c r="G24" s="10"/>
      <c r="H24" s="10"/>
    </row>
    <row r="25" spans="1:9" ht="14.65" customHeight="1">
      <c r="A25" s="8" t="s">
        <v>82</v>
      </c>
      <c r="B25" s="29">
        <f t="shared" ref="B25:I25" si="18">SUM(B13,B17,B23)</f>
        <v>10597.989757764752</v>
      </c>
      <c r="C25" s="29">
        <f t="shared" si="18"/>
        <v>13968.094240969351</v>
      </c>
      <c r="D25" s="29">
        <f t="shared" si="18"/>
        <v>21213.349580435461</v>
      </c>
      <c r="E25" s="29">
        <f t="shared" si="18"/>
        <v>98060.699276604384</v>
      </c>
      <c r="F25" s="29">
        <f t="shared" si="18"/>
        <v>106861.64703667963</v>
      </c>
      <c r="G25" s="29">
        <f t="shared" si="18"/>
        <v>116452.4798582216</v>
      </c>
      <c r="H25" s="29">
        <f t="shared" si="18"/>
        <v>126904.08992549703</v>
      </c>
      <c r="I25" s="29">
        <f t="shared" si="18"/>
        <v>138293.73199631041</v>
      </c>
    </row>
    <row r="26" spans="1:9" ht="14.65" customHeight="1">
      <c r="A26" s="9" t="s">
        <v>83</v>
      </c>
      <c r="B26" s="32">
        <v>58436.834439374143</v>
      </c>
      <c r="C26" s="32">
        <v>69034.824197138892</v>
      </c>
      <c r="D26" s="32">
        <v>83002.918438108245</v>
      </c>
      <c r="E26" s="10">
        <f>D27</f>
        <v>104216.26801854371</v>
      </c>
      <c r="F26" s="10">
        <f t="shared" ref="F26:I26" si="19">E27</f>
        <v>202276.96729514809</v>
      </c>
      <c r="G26" s="10">
        <f t="shared" si="19"/>
        <v>309138.61433182773</v>
      </c>
      <c r="H26" s="10">
        <f t="shared" si="19"/>
        <v>425591.09419004933</v>
      </c>
      <c r="I26" s="10">
        <f t="shared" si="19"/>
        <v>552495.18411554641</v>
      </c>
    </row>
    <row r="27" spans="1:9" ht="14.65" customHeight="1">
      <c r="A27" s="23" t="s">
        <v>84</v>
      </c>
      <c r="B27" s="29">
        <f t="shared" ref="B27:D27" si="20">SUM(B25:B26)</f>
        <v>69034.824197138892</v>
      </c>
      <c r="C27" s="29">
        <f t="shared" si="20"/>
        <v>83002.918438108245</v>
      </c>
      <c r="D27" s="29">
        <f t="shared" si="20"/>
        <v>104216.26801854371</v>
      </c>
      <c r="E27" s="29">
        <f t="shared" ref="E27" si="21">SUM(E25:E26)</f>
        <v>202276.96729514809</v>
      </c>
      <c r="F27" s="29">
        <f t="shared" ref="F27" si="22">SUM(F25:F26)</f>
        <v>309138.61433182773</v>
      </c>
      <c r="G27" s="29">
        <f t="shared" ref="G27" si="23">SUM(G25:G26)</f>
        <v>425591.09419004933</v>
      </c>
      <c r="H27" s="29">
        <f t="shared" ref="H27" si="24">SUM(H25:H26)</f>
        <v>552495.18411554641</v>
      </c>
      <c r="I27" s="29">
        <f t="shared" ref="I27" si="25">SUM(I25:I26)</f>
        <v>690788.91611185682</v>
      </c>
    </row>
    <row r="28" spans="1:9" ht="14.65" customHeight="1"/>
    <row r="29" spans="1:9" ht="14.65" customHeight="1">
      <c r="B29" s="24"/>
      <c r="C29" s="24"/>
      <c r="D29" s="24"/>
      <c r="E29" s="24"/>
      <c r="F29" s="24"/>
      <c r="G29" s="24"/>
      <c r="H29" s="24"/>
    </row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</sheetData>
  <conditionalFormatting sqref="E2:H2">
    <cfRule type="containsText" dxfId="3" priority="7" operator="containsText" text="OK">
      <formula>NOT(ISERROR(SEARCH("OK",E2)))</formula>
    </cfRule>
    <cfRule type="containsText" dxfId="2" priority="8" operator="containsText" text="ERROR">
      <formula>NOT(ISERROR(SEARCH("ERROR",E2)))</formula>
    </cfRule>
  </conditionalFormatting>
  <pageMargins left="0.75" right="0.75" top="1" bottom="1" header="0.5" footer="0.5"/>
  <pageSetup scale="57" fitToHeight="0" orientation="landscape" blackAndWhite="1" r:id="rId1"/>
  <headerFooter alignWithMargins="0">
    <oddFooter>&amp;R&amp;6© Management Development Associates (NA) Inc. - 21317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66"/>
  <sheetViews>
    <sheetView showGridLines="0" tabSelected="1" zoomScaleNormal="100" workbookViewId="0">
      <pane ySplit="3" topLeftCell="A4" activePane="bottomLeft" state="frozen"/>
      <selection activeCell="F2" sqref="F2"/>
      <selection pane="bottomLeft" activeCell="E19" activeCellId="1" sqref="E13:I16 E19:I24"/>
    </sheetView>
  </sheetViews>
  <sheetFormatPr defaultColWidth="9.1796875" defaultRowHeight="14"/>
  <cols>
    <col min="1" max="1" width="41.26953125" style="9" customWidth="1"/>
    <col min="2" max="9" width="13.1796875" style="9" customWidth="1"/>
    <col min="10" max="16384" width="9.1796875" style="9"/>
  </cols>
  <sheetData>
    <row r="1" spans="1:11" s="1" customFormat="1" ht="19.899999999999999" customHeight="1">
      <c r="A1" s="51" t="s">
        <v>99</v>
      </c>
      <c r="B1" s="25"/>
      <c r="C1" s="26"/>
      <c r="D1" s="26"/>
      <c r="E1" s="26"/>
      <c r="F1" s="26"/>
      <c r="G1" s="26"/>
      <c r="H1" s="26"/>
    </row>
    <row r="2" spans="1:11" s="3" customFormat="1" ht="14.65" customHeight="1">
      <c r="A2" s="2"/>
      <c r="B2" s="2"/>
      <c r="C2" s="4"/>
      <c r="D2" s="4"/>
      <c r="E2" s="5"/>
      <c r="F2" s="5"/>
      <c r="G2" s="5"/>
      <c r="H2" s="5"/>
    </row>
    <row r="3" spans="1:11" s="7" customFormat="1" ht="19.899999999999999" customHeight="1">
      <c r="A3" s="47" t="s">
        <v>58</v>
      </c>
      <c r="B3" s="48" t="s">
        <v>92</v>
      </c>
      <c r="C3" s="48" t="s">
        <v>93</v>
      </c>
      <c r="D3" s="48" t="s">
        <v>94</v>
      </c>
      <c r="E3" s="49" t="s">
        <v>80</v>
      </c>
      <c r="F3" s="49" t="s">
        <v>95</v>
      </c>
      <c r="G3" s="49" t="s">
        <v>96</v>
      </c>
      <c r="H3" s="49" t="s">
        <v>97</v>
      </c>
      <c r="I3" s="49" t="s">
        <v>98</v>
      </c>
    </row>
    <row r="4" spans="1:11" ht="14.65" customHeight="1">
      <c r="A4" s="8"/>
      <c r="E4" s="10"/>
      <c r="F4" s="10"/>
      <c r="G4" s="10"/>
      <c r="H4" s="10"/>
    </row>
    <row r="5" spans="1:11" ht="14.65" customHeight="1">
      <c r="A5" s="8" t="s">
        <v>59</v>
      </c>
      <c r="E5" s="10"/>
      <c r="F5" s="10"/>
      <c r="G5" s="10"/>
      <c r="H5" s="10"/>
    </row>
    <row r="6" spans="1:11" ht="14.65" customHeight="1">
      <c r="A6" s="8" t="s">
        <v>72</v>
      </c>
      <c r="B6" s="10"/>
      <c r="C6" s="10"/>
      <c r="D6" s="10"/>
      <c r="E6" s="10"/>
      <c r="F6" s="10"/>
      <c r="G6" s="10"/>
      <c r="H6" s="10"/>
    </row>
    <row r="7" spans="1:11" ht="14.65" customHeight="1">
      <c r="A7" s="9" t="s">
        <v>60</v>
      </c>
      <c r="B7" s="10"/>
      <c r="C7" s="10">
        <f>B10</f>
        <v>24076.723285690648</v>
      </c>
      <c r="D7" s="10">
        <f>C10</f>
        <v>25338.80958695669</v>
      </c>
      <c r="E7" s="58"/>
      <c r="F7" s="58"/>
      <c r="G7" s="58"/>
      <c r="H7" s="58"/>
      <c r="I7" s="58"/>
    </row>
    <row r="8" spans="1:11" ht="14.65" customHeight="1">
      <c r="A8" s="9" t="s">
        <v>61</v>
      </c>
      <c r="B8" s="10">
        <f>-'Cash Flow Statement'!B16</f>
        <v>10881.298181144462</v>
      </c>
      <c r="C8" s="10">
        <f>-'Cash Flow Statement'!C16</f>
        <v>10688.123467613928</v>
      </c>
      <c r="D8" s="10">
        <f>-'Cash Flow Statement'!D16</f>
        <v>11861.988693751893</v>
      </c>
      <c r="E8" s="58"/>
      <c r="F8" s="58"/>
      <c r="G8" s="58"/>
      <c r="H8" s="58"/>
      <c r="I8" s="58"/>
    </row>
    <row r="9" spans="1:11" ht="14.65" customHeight="1">
      <c r="A9" s="9" t="s">
        <v>62</v>
      </c>
      <c r="B9" s="10">
        <f>'Income Statement'!B11</f>
        <v>8378.6997034203469</v>
      </c>
      <c r="C9" s="10">
        <f>'Income Statement'!C11</f>
        <v>9426.0371663478873</v>
      </c>
      <c r="D9" s="10">
        <f>'Income Statement'!D11</f>
        <v>10807.894214934489</v>
      </c>
      <c r="E9" s="58"/>
      <c r="F9" s="58"/>
      <c r="G9" s="58"/>
      <c r="H9" s="58"/>
      <c r="I9" s="58"/>
    </row>
    <row r="10" spans="1:11" ht="14.65" customHeight="1">
      <c r="A10" s="16" t="s">
        <v>63</v>
      </c>
      <c r="B10" s="53">
        <f>'Balance Sheet'!B12</f>
        <v>24076.723285690648</v>
      </c>
      <c r="C10" s="53">
        <f>C7+C8-C9</f>
        <v>25338.80958695669</v>
      </c>
      <c r="D10" s="53">
        <f>D7+D8-D9</f>
        <v>26392.904065774092</v>
      </c>
      <c r="E10" s="59"/>
      <c r="F10" s="59"/>
      <c r="G10" s="59"/>
      <c r="H10" s="59"/>
      <c r="I10" s="59"/>
    </row>
    <row r="11" spans="1:11" ht="14.65" customHeight="1">
      <c r="A11" s="9" t="s">
        <v>49</v>
      </c>
      <c r="B11" s="10"/>
      <c r="C11" s="10"/>
      <c r="D11" s="10"/>
      <c r="E11" s="10"/>
      <c r="F11" s="10"/>
      <c r="G11" s="10"/>
      <c r="H11" s="10"/>
    </row>
    <row r="12" spans="1:11" ht="14.65" customHeight="1">
      <c r="A12" s="8" t="s">
        <v>64</v>
      </c>
      <c r="B12" s="10"/>
      <c r="C12" s="10"/>
      <c r="D12" s="10"/>
      <c r="E12" s="10"/>
      <c r="F12" s="10"/>
      <c r="G12" s="10"/>
      <c r="H12" s="10"/>
    </row>
    <row r="13" spans="1:11" ht="14.65" customHeight="1">
      <c r="A13" s="9" t="s">
        <v>60</v>
      </c>
      <c r="B13" s="54">
        <f>B16-B14+B15</f>
        <v>52162.501186742003</v>
      </c>
      <c r="C13" s="10">
        <f>B16</f>
        <v>65141.981311248433</v>
      </c>
      <c r="D13" s="10">
        <f t="shared" ref="D13" si="0">C16</f>
        <v>84127.889552303925</v>
      </c>
      <c r="E13" s="58"/>
      <c r="F13" s="58"/>
      <c r="G13" s="58"/>
      <c r="H13" s="58"/>
      <c r="I13" s="58"/>
    </row>
    <row r="14" spans="1:11" ht="14.65" customHeight="1">
      <c r="A14" s="9" t="s">
        <v>23</v>
      </c>
      <c r="B14" s="10">
        <f>'Income Statement'!B16</f>
        <v>27733.931889971016</v>
      </c>
      <c r="C14" s="10">
        <f>'Income Statement'!C16</f>
        <v>32454.544001804261</v>
      </c>
      <c r="D14" s="10">
        <f>'Income Statement'!D16</f>
        <v>39463.534407311403</v>
      </c>
      <c r="E14" s="58"/>
      <c r="F14" s="58"/>
      <c r="G14" s="58"/>
      <c r="H14" s="58"/>
      <c r="I14" s="58"/>
    </row>
    <row r="15" spans="1:11" ht="14.65" customHeight="1">
      <c r="A15" s="9" t="s">
        <v>65</v>
      </c>
      <c r="B15" s="10">
        <f>'Income Statement'!B18</f>
        <v>14754.451765464581</v>
      </c>
      <c r="C15" s="10">
        <f>'Income Statement'!C18</f>
        <v>13468.635760748768</v>
      </c>
      <c r="D15" s="10">
        <f>'Income Statement'!D18</f>
        <v>14996.143074778332</v>
      </c>
      <c r="E15" s="58"/>
      <c r="F15" s="58"/>
      <c r="G15" s="58"/>
      <c r="H15" s="58"/>
      <c r="I15" s="58"/>
    </row>
    <row r="16" spans="1:11" ht="14.65" customHeight="1">
      <c r="A16" s="16" t="s">
        <v>66</v>
      </c>
      <c r="B16" s="53">
        <f>'Balance Sheet'!B24</f>
        <v>65141.981311248433</v>
      </c>
      <c r="C16" s="53">
        <f>C13+C14-C15</f>
        <v>84127.889552303925</v>
      </c>
      <c r="D16" s="53">
        <f t="shared" ref="D16" si="1">D13+D14-D15</f>
        <v>108595.28088483699</v>
      </c>
      <c r="E16" s="59"/>
      <c r="F16" s="59"/>
      <c r="G16" s="59"/>
      <c r="H16" s="59"/>
      <c r="I16" s="59"/>
      <c r="K16" s="10"/>
    </row>
    <row r="17" spans="1:9" ht="14.65" customHeight="1">
      <c r="A17" s="8" t="s">
        <v>49</v>
      </c>
      <c r="B17" s="55"/>
      <c r="C17" s="55"/>
      <c r="D17" s="55"/>
      <c r="E17" s="55"/>
      <c r="F17" s="55"/>
      <c r="G17" s="55"/>
      <c r="H17" s="55"/>
    </row>
    <row r="18" spans="1:9" ht="14.65" customHeight="1">
      <c r="A18" s="8" t="s">
        <v>67</v>
      </c>
      <c r="B18" s="10"/>
      <c r="D18" s="10"/>
      <c r="E18" s="10"/>
      <c r="F18" s="10"/>
      <c r="G18" s="10"/>
      <c r="H18" s="10"/>
    </row>
    <row r="19" spans="1:9" ht="14.65" customHeight="1">
      <c r="A19" s="9" t="s">
        <v>60</v>
      </c>
      <c r="B19" s="56"/>
      <c r="C19" s="21">
        <f>B21</f>
        <v>40000</v>
      </c>
      <c r="D19" s="21">
        <f t="shared" ref="D19" si="2">C21</f>
        <v>40000</v>
      </c>
      <c r="E19" s="60"/>
      <c r="F19" s="60"/>
      <c r="G19" s="60"/>
      <c r="H19" s="60"/>
      <c r="I19" s="60"/>
    </row>
    <row r="20" spans="1:9" ht="14.65" customHeight="1">
      <c r="A20" s="9" t="s">
        <v>68</v>
      </c>
      <c r="B20" s="10">
        <f>'Cash Flow Statement'!B22</f>
        <v>0</v>
      </c>
      <c r="C20" s="10">
        <f>C21-C19</f>
        <v>0</v>
      </c>
      <c r="D20" s="10">
        <f t="shared" ref="D20" si="3">D21-D19</f>
        <v>0</v>
      </c>
      <c r="E20" s="58"/>
      <c r="F20" s="58"/>
      <c r="G20" s="58"/>
      <c r="H20" s="58"/>
      <c r="I20" s="58"/>
    </row>
    <row r="21" spans="1:9" ht="14.65" customHeight="1">
      <c r="A21" s="16" t="s">
        <v>69</v>
      </c>
      <c r="B21" s="53">
        <f>Assumptions!B21</f>
        <v>40000</v>
      </c>
      <c r="C21" s="53">
        <f>Assumptions!C21</f>
        <v>40000</v>
      </c>
      <c r="D21" s="53">
        <f>Assumptions!D21</f>
        <v>40000</v>
      </c>
      <c r="E21" s="59"/>
      <c r="F21" s="59"/>
      <c r="G21" s="59"/>
      <c r="H21" s="59"/>
      <c r="I21" s="59"/>
    </row>
    <row r="22" spans="1:9" ht="14.65" customHeight="1">
      <c r="A22" s="9" t="s">
        <v>49</v>
      </c>
      <c r="B22" s="10"/>
      <c r="C22" s="10"/>
      <c r="D22" s="10"/>
      <c r="E22" s="58"/>
      <c r="F22" s="58"/>
      <c r="G22" s="58"/>
      <c r="H22" s="58"/>
      <c r="I22" s="58"/>
    </row>
    <row r="23" spans="1:9" ht="14.65" customHeight="1">
      <c r="A23" s="9" t="s">
        <v>70</v>
      </c>
      <c r="B23" s="10"/>
      <c r="C23" s="10">
        <f>Assumptions!C12*AVERAGE(B21:C21)</f>
        <v>2480</v>
      </c>
      <c r="D23" s="10">
        <f>Assumptions!D12*AVERAGE(C21:D21)</f>
        <v>2680</v>
      </c>
      <c r="E23" s="58"/>
      <c r="F23" s="58"/>
      <c r="G23" s="58"/>
      <c r="H23" s="58"/>
      <c r="I23" s="58"/>
    </row>
    <row r="24" spans="1:9" ht="14.65" customHeight="1">
      <c r="A24" s="16" t="s">
        <v>71</v>
      </c>
      <c r="B24" s="53"/>
      <c r="C24" s="53">
        <f>C23</f>
        <v>2480</v>
      </c>
      <c r="D24" s="53">
        <f t="shared" ref="D24" si="4">D23</f>
        <v>2680</v>
      </c>
      <c r="E24" s="59"/>
      <c r="F24" s="59"/>
      <c r="G24" s="59"/>
      <c r="H24" s="59"/>
      <c r="I24" s="59"/>
    </row>
    <row r="25" spans="1:9" ht="14.65" customHeight="1">
      <c r="B25" s="10"/>
      <c r="C25" s="10"/>
      <c r="D25" s="10"/>
      <c r="E25" s="10"/>
      <c r="F25" s="10"/>
      <c r="G25" s="10"/>
      <c r="H25" s="10"/>
    </row>
    <row r="26" spans="1:9" ht="14.65" customHeight="1"/>
    <row r="27" spans="1:9" ht="14.65" customHeight="1"/>
    <row r="28" spans="1:9" ht="14.65" customHeight="1"/>
    <row r="29" spans="1:9" ht="14.65" customHeight="1"/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</sheetData>
  <conditionalFormatting sqref="E2:H2">
    <cfRule type="containsText" dxfId="1" priority="7" operator="containsText" text="OK">
      <formula>NOT(ISERROR(SEARCH("OK",E2)))</formula>
    </cfRule>
    <cfRule type="containsText" dxfId="0" priority="8" operator="containsText" text="ERROR">
      <formula>NOT(ISERROR(SEARCH("ERROR",E2)))</formula>
    </cfRule>
  </conditionalFormatting>
  <pageMargins left="0.75" right="0.75" top="1" bottom="1" header="0.5" footer="0.5"/>
  <pageSetup scale="57" fitToHeight="0" orientation="landscape" blackAndWhite="1" r:id="rId1"/>
  <headerFooter alignWithMargins="0">
    <oddFooter>&amp;R&amp;6© Management Development Associates (NA) Inc. - 21317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Income Statement</vt:lpstr>
      <vt:lpstr>Balance Sheet</vt:lpstr>
      <vt:lpstr>Cash Flow Statement</vt:lpstr>
      <vt:lpstr>Supporting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Alok Singhal</cp:lastModifiedBy>
  <dcterms:created xsi:type="dcterms:W3CDTF">2019-09-10T18:31:51Z</dcterms:created>
  <dcterms:modified xsi:type="dcterms:W3CDTF">2025-01-11T09:35:26Z</dcterms:modified>
</cp:coreProperties>
</file>